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orrisb\appdata\local\bentley\projectwise\workingdir\ohiodot-pw.bentley.com_ohiodot-pw-02\scott.horrisberger@dot.ohio.gov\d0186175\"/>
    </mc:Choice>
  </mc:AlternateContent>
  <xr:revisionPtr revIDLastSave="0" documentId="13_ncr:1_{095E389A-7622-4957-85DD-739A78F17E92}" xr6:coauthVersionLast="47" xr6:coauthVersionMax="47" xr10:uidLastSave="{00000000-0000-0000-0000-000000000000}"/>
  <bookViews>
    <workbookView xWindow="1905" yWindow="1905" windowWidth="21600" windowHeight="11295" xr2:uid="{7E703A93-F817-481B-ACC4-4E915188698A}"/>
  </bookViews>
  <sheets>
    <sheet name="Final Table" sheetId="8" r:id="rId1"/>
    <sheet name="Proposed" sheetId="1" r:id="rId2"/>
    <sheet name="16' width" sheetId="4" r:id="rId3"/>
    <sheet name="Ex-LW" sheetId="5" r:id="rId4"/>
    <sheet name="Pr-LW" sheetId="6" r:id="rId5"/>
    <sheet name="PROP-CROWN" sheetId="7" r:id="rId6"/>
    <sheet name="Existing" sheetId="2" r:id="rId7"/>
  </sheets>
  <definedNames>
    <definedName name="_xlnm.Print_Area" localSheetId="2">'16'' width'!$F$2:$T$20</definedName>
    <definedName name="_xlnm.Print_Area" localSheetId="0">'Final Table'!$B$2:$M$17</definedName>
    <definedName name="_xlnm.Print_Area" localSheetId="1">Proposed!$B$3:$U$17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6" i="8" l="1"/>
  <c r="C16" i="8"/>
  <c r="D16" i="8" s="1"/>
  <c r="J16" i="8" s="1"/>
  <c r="K16" i="8" s="1"/>
  <c r="G7" i="8"/>
  <c r="G8" i="8" s="1"/>
  <c r="G9" i="8" s="1"/>
  <c r="G10" i="8" s="1"/>
  <c r="G11" i="8" s="1"/>
  <c r="G12" i="8" s="1"/>
  <c r="G13" i="8" s="1"/>
  <c r="G14" i="8" s="1"/>
  <c r="G15" i="8" s="1"/>
  <c r="G16" i="8" s="1"/>
  <c r="F6" i="8"/>
  <c r="C6" i="8"/>
  <c r="D6" i="8" s="1"/>
  <c r="L17" i="4"/>
  <c r="Q19" i="4"/>
  <c r="Q6" i="4"/>
  <c r="Q20" i="4"/>
  <c r="Q5" i="4"/>
  <c r="R5" i="4"/>
  <c r="AC15" i="4"/>
  <c r="D15" i="4"/>
  <c r="F15" i="4" s="1"/>
  <c r="E15" i="4"/>
  <c r="M15" i="4"/>
  <c r="R15" i="4"/>
  <c r="S15" i="4" s="1"/>
  <c r="P15" i="4"/>
  <c r="P8" i="7"/>
  <c r="P9" i="7"/>
  <c r="P10" i="7"/>
  <c r="P11" i="7"/>
  <c r="P12" i="7"/>
  <c r="P14" i="7"/>
  <c r="P15" i="7"/>
  <c r="P16" i="7"/>
  <c r="P17" i="7"/>
  <c r="P18" i="7"/>
  <c r="P7" i="7"/>
  <c r="D14" i="8" l="1"/>
  <c r="F15" i="8"/>
  <c r="I15" i="8"/>
  <c r="I14" i="8"/>
  <c r="I13" i="8"/>
  <c r="I12" i="8"/>
  <c r="I11" i="8"/>
  <c r="I10" i="8"/>
  <c r="I9" i="8"/>
  <c r="I8" i="8"/>
  <c r="I7" i="8"/>
  <c r="E15" i="8"/>
  <c r="E14" i="8"/>
  <c r="C14" i="8" s="1"/>
  <c r="B14" i="8" s="1"/>
  <c r="E13" i="8"/>
  <c r="E12" i="8"/>
  <c r="E11" i="8"/>
  <c r="E10" i="8"/>
  <c r="E9" i="8"/>
  <c r="E8" i="8"/>
  <c r="E7" i="8"/>
  <c r="D8" i="8"/>
  <c r="C8" i="8" s="1"/>
  <c r="D13" i="8"/>
  <c r="F7" i="8"/>
  <c r="F8" i="8"/>
  <c r="F9" i="8"/>
  <c r="F10" i="8"/>
  <c r="F11" i="8"/>
  <c r="F12" i="8"/>
  <c r="F13" i="8"/>
  <c r="F14" i="8"/>
  <c r="D10" i="8"/>
  <c r="C10" i="8" s="1"/>
  <c r="D15" i="8"/>
  <c r="D11" i="8"/>
  <c r="D7" i="8"/>
  <c r="D12" i="8"/>
  <c r="J6" i="8"/>
  <c r="D9" i="8"/>
  <c r="I15" i="4"/>
  <c r="M7" i="7"/>
  <c r="M8" i="7"/>
  <c r="M9" i="7"/>
  <c r="M10" i="7"/>
  <c r="M11" i="7"/>
  <c r="M12" i="7"/>
  <c r="M14" i="7"/>
  <c r="M15" i="7"/>
  <c r="M16" i="7"/>
  <c r="M17" i="7"/>
  <c r="M18" i="7"/>
  <c r="M19" i="7"/>
  <c r="M6" i="7"/>
  <c r="I13" i="7"/>
  <c r="P19" i="7"/>
  <c r="P6" i="7"/>
  <c r="K6" i="7"/>
  <c r="R19" i="7"/>
  <c r="R6" i="7"/>
  <c r="N6" i="7"/>
  <c r="I6" i="7" s="1"/>
  <c r="O19" i="7"/>
  <c r="K19" i="7" s="1"/>
  <c r="O6" i="7"/>
  <c r="AF19" i="7"/>
  <c r="W19" i="7"/>
  <c r="AC19" i="7" s="1"/>
  <c r="F19" i="7"/>
  <c r="G19" i="7" s="1"/>
  <c r="AF18" i="7"/>
  <c r="F18" i="7"/>
  <c r="AF17" i="7"/>
  <c r="F17" i="7"/>
  <c r="AF16" i="7"/>
  <c r="F16" i="7"/>
  <c r="AF15" i="7"/>
  <c r="Z15" i="7"/>
  <c r="F15" i="7"/>
  <c r="AF14" i="7"/>
  <c r="F14" i="7"/>
  <c r="AF12" i="7"/>
  <c r="F12" i="7"/>
  <c r="AF11" i="7"/>
  <c r="Z11" i="7"/>
  <c r="F11" i="7"/>
  <c r="AF10" i="7"/>
  <c r="F10" i="7"/>
  <c r="AF9" i="7"/>
  <c r="F9" i="7"/>
  <c r="AF8" i="7"/>
  <c r="F8" i="7"/>
  <c r="AF7" i="7"/>
  <c r="S7" i="7"/>
  <c r="Z7" i="7" s="1"/>
  <c r="F7" i="7"/>
  <c r="AF6" i="7"/>
  <c r="Z6" i="7"/>
  <c r="W6" i="7"/>
  <c r="AC6" i="7" s="1"/>
  <c r="F6" i="7"/>
  <c r="G6" i="7" s="1"/>
  <c r="AH12" i="5"/>
  <c r="AL12" i="5"/>
  <c r="AO12" i="5"/>
  <c r="AM29" i="5"/>
  <c r="AN29" i="5"/>
  <c r="AM25" i="5"/>
  <c r="AN25" i="5"/>
  <c r="AM26" i="5"/>
  <c r="AN26" i="5"/>
  <c r="AM27" i="5"/>
  <c r="AN27" i="5"/>
  <c r="AM28" i="5"/>
  <c r="AN28" i="5"/>
  <c r="AN24" i="5"/>
  <c r="AM24" i="5"/>
  <c r="AM30" i="5"/>
  <c r="AN30" i="5"/>
  <c r="AM31" i="5"/>
  <c r="AN31" i="5"/>
  <c r="AM32" i="5"/>
  <c r="AN32" i="5"/>
  <c r="AM33" i="5"/>
  <c r="AN33" i="5"/>
  <c r="AN34" i="5"/>
  <c r="AM34" i="5"/>
  <c r="AM23" i="5"/>
  <c r="AN23" i="5"/>
  <c r="AN22" i="5"/>
  <c r="AK29" i="5"/>
  <c r="AK25" i="5"/>
  <c r="AK26" i="5"/>
  <c r="AK27" i="5"/>
  <c r="AK28" i="5"/>
  <c r="AK24" i="5"/>
  <c r="AK30" i="5"/>
  <c r="AK31" i="5"/>
  <c r="AK32" i="5"/>
  <c r="AK33" i="5"/>
  <c r="AK34" i="5"/>
  <c r="AK23" i="5"/>
  <c r="AJ23" i="5"/>
  <c r="AJ22" i="5"/>
  <c r="AE21" i="6"/>
  <c r="I5" i="6"/>
  <c r="AD5" i="6" s="1"/>
  <c r="N5" i="6"/>
  <c r="AB5" i="6" s="1"/>
  <c r="AB22" i="6" s="1"/>
  <c r="P5" i="6"/>
  <c r="AK5" i="6" s="1"/>
  <c r="S5" i="6"/>
  <c r="AL5" i="6" s="1"/>
  <c r="T5" i="6"/>
  <c r="F5" i="6"/>
  <c r="I18" i="6"/>
  <c r="J18" i="6"/>
  <c r="AE18" i="6" s="1"/>
  <c r="O18" i="6"/>
  <c r="P18" i="6"/>
  <c r="AK18" i="6" s="1"/>
  <c r="S18" i="6"/>
  <c r="AL18" i="6" s="1"/>
  <c r="T18" i="6"/>
  <c r="K6" i="5"/>
  <c r="K7" i="5"/>
  <c r="K8" i="5"/>
  <c r="K9" i="5"/>
  <c r="K10" i="5"/>
  <c r="K11" i="5"/>
  <c r="K13" i="5"/>
  <c r="K14" i="5"/>
  <c r="K15" i="5"/>
  <c r="K16" i="5"/>
  <c r="K17" i="5"/>
  <c r="K18" i="5"/>
  <c r="K18" i="6" s="1"/>
  <c r="R7" i="5"/>
  <c r="R8" i="5"/>
  <c r="R9" i="5"/>
  <c r="R10" i="5"/>
  <c r="R11" i="5"/>
  <c r="R13" i="5"/>
  <c r="R14" i="5"/>
  <c r="R15" i="5"/>
  <c r="R16" i="5"/>
  <c r="R17" i="5"/>
  <c r="R18" i="5"/>
  <c r="Q18" i="5" s="1"/>
  <c r="AA18" i="5" s="1"/>
  <c r="AD5" i="5"/>
  <c r="AC5" i="5"/>
  <c r="AJ5" i="5"/>
  <c r="AL22" i="5" s="1"/>
  <c r="M5" i="5"/>
  <c r="M5" i="6" s="1"/>
  <c r="M6" i="5"/>
  <c r="M8" i="5"/>
  <c r="M9" i="5"/>
  <c r="M10" i="5"/>
  <c r="M11" i="5"/>
  <c r="M13" i="5"/>
  <c r="M14" i="5"/>
  <c r="M15" i="5"/>
  <c r="M16" i="5"/>
  <c r="M17" i="5"/>
  <c r="M18" i="5"/>
  <c r="M18" i="6" s="1"/>
  <c r="M7" i="5"/>
  <c r="AI34" i="6"/>
  <c r="AI33" i="6"/>
  <c r="AI32" i="6"/>
  <c r="AI31" i="6"/>
  <c r="AI30" i="6"/>
  <c r="AI29" i="6"/>
  <c r="AI28" i="6"/>
  <c r="AI27" i="6"/>
  <c r="AI26" i="6"/>
  <c r="AI25" i="6"/>
  <c r="AI24" i="6"/>
  <c r="AI23" i="6"/>
  <c r="AI22" i="6"/>
  <c r="AD21" i="6"/>
  <c r="AC21" i="6"/>
  <c r="AH18" i="6"/>
  <c r="E18" i="6"/>
  <c r="D18" i="6"/>
  <c r="AJ17" i="6"/>
  <c r="AH17" i="6"/>
  <c r="AA17" i="6"/>
  <c r="AE33" i="6" s="1"/>
  <c r="E17" i="6"/>
  <c r="D17" i="6"/>
  <c r="F17" i="6" s="1"/>
  <c r="AH16" i="6"/>
  <c r="AA16" i="6"/>
  <c r="AE32" i="6" s="1"/>
  <c r="F16" i="6"/>
  <c r="AC16" i="6" s="1"/>
  <c r="E16" i="6"/>
  <c r="D16" i="6"/>
  <c r="AJ15" i="6"/>
  <c r="AH15" i="6"/>
  <c r="AA15" i="6"/>
  <c r="AE31" i="6" s="1"/>
  <c r="E15" i="6"/>
  <c r="D15" i="6"/>
  <c r="F15" i="6" s="1"/>
  <c r="AH14" i="6"/>
  <c r="AB14" i="6"/>
  <c r="AB30" i="6" s="1"/>
  <c r="U14" i="6"/>
  <c r="AA14" i="6"/>
  <c r="AE30" i="6" s="1"/>
  <c r="E14" i="6"/>
  <c r="D14" i="6"/>
  <c r="F14" i="6" s="1"/>
  <c r="AJ13" i="6"/>
  <c r="AH13" i="6"/>
  <c r="AA13" i="6"/>
  <c r="AE29" i="6" s="1"/>
  <c r="E13" i="6"/>
  <c r="D13" i="6"/>
  <c r="F13" i="6" s="1"/>
  <c r="E12" i="6"/>
  <c r="I12" i="6" s="1"/>
  <c r="AD12" i="6" s="1"/>
  <c r="D12" i="6"/>
  <c r="F12" i="6" s="1"/>
  <c r="AC12" i="6" s="1"/>
  <c r="AH11" i="6"/>
  <c r="AA11" i="6"/>
  <c r="AE28" i="6" s="1"/>
  <c r="E11" i="6"/>
  <c r="D11" i="6"/>
  <c r="F11" i="6" s="1"/>
  <c r="AC11" i="6" s="1"/>
  <c r="AH10" i="6"/>
  <c r="AB10" i="6"/>
  <c r="AB27" i="6" s="1"/>
  <c r="AA10" i="6"/>
  <c r="AE27" i="6" s="1"/>
  <c r="U10" i="6"/>
  <c r="AJ10" i="6"/>
  <c r="E10" i="6"/>
  <c r="D10" i="6"/>
  <c r="F10" i="6" s="1"/>
  <c r="AH9" i="6"/>
  <c r="AA9" i="6"/>
  <c r="AE26" i="6" s="1"/>
  <c r="E9" i="6"/>
  <c r="D9" i="6"/>
  <c r="F9" i="6" s="1"/>
  <c r="AC9" i="6" s="1"/>
  <c r="AJ8" i="6"/>
  <c r="AH8" i="6"/>
  <c r="AA8" i="6"/>
  <c r="AE25" i="6" s="1"/>
  <c r="E8" i="6"/>
  <c r="D8" i="6"/>
  <c r="F8" i="6" s="1"/>
  <c r="AH7" i="6"/>
  <c r="AA7" i="6"/>
  <c r="AE24" i="6" s="1"/>
  <c r="F7" i="6"/>
  <c r="AC7" i="6" s="1"/>
  <c r="E7" i="6"/>
  <c r="D7" i="6"/>
  <c r="AJ6" i="6"/>
  <c r="AH6" i="6"/>
  <c r="AA6" i="6"/>
  <c r="AE23" i="6" s="1"/>
  <c r="E6" i="6"/>
  <c r="D6" i="6"/>
  <c r="F6" i="6" s="1"/>
  <c r="AH5" i="6"/>
  <c r="E5" i="6"/>
  <c r="D5" i="6"/>
  <c r="AD21" i="5"/>
  <c r="AE21" i="5"/>
  <c r="AF21" i="5"/>
  <c r="AC21" i="5"/>
  <c r="AJ6" i="5"/>
  <c r="AL23" i="5" s="1"/>
  <c r="AJ7" i="5"/>
  <c r="AL24" i="5" s="1"/>
  <c r="AJ8" i="5"/>
  <c r="AL25" i="5" s="1"/>
  <c r="AJ9" i="5"/>
  <c r="AL26" i="5" s="1"/>
  <c r="AJ10" i="5"/>
  <c r="AL27" i="5" s="1"/>
  <c r="AJ11" i="5"/>
  <c r="AL28" i="5" s="1"/>
  <c r="AJ13" i="5"/>
  <c r="AL29" i="5" s="1"/>
  <c r="AJ14" i="5"/>
  <c r="AL30" i="5" s="1"/>
  <c r="AJ15" i="5"/>
  <c r="AL31" i="5" s="1"/>
  <c r="AJ16" i="5"/>
  <c r="AL32" i="5" s="1"/>
  <c r="AJ17" i="5"/>
  <c r="AL33" i="5" s="1"/>
  <c r="AJ18" i="5"/>
  <c r="AL34" i="5" s="1"/>
  <c r="I5" i="4"/>
  <c r="AN18" i="5"/>
  <c r="AN6" i="5"/>
  <c r="AN7" i="5"/>
  <c r="AN8" i="5"/>
  <c r="AN9" i="5"/>
  <c r="AN10" i="5"/>
  <c r="AN11" i="5"/>
  <c r="AN13" i="5"/>
  <c r="AN14" i="5"/>
  <c r="AN15" i="5"/>
  <c r="AN16" i="5"/>
  <c r="AN17" i="5"/>
  <c r="AN5" i="5"/>
  <c r="AM6" i="5"/>
  <c r="AM7" i="5"/>
  <c r="AM8" i="5"/>
  <c r="AM9" i="5"/>
  <c r="AM10" i="5"/>
  <c r="AM11" i="5"/>
  <c r="AM13" i="5"/>
  <c r="AM14" i="5"/>
  <c r="AM15" i="5"/>
  <c r="AM16" i="5"/>
  <c r="AM17" i="5"/>
  <c r="O5" i="5"/>
  <c r="AM5" i="5" s="1"/>
  <c r="AR22" i="5" s="1"/>
  <c r="J5" i="5"/>
  <c r="AP18" i="5"/>
  <c r="AB10" i="5"/>
  <c r="AB27" i="5" s="1"/>
  <c r="AB14" i="5"/>
  <c r="AB30" i="5" s="1"/>
  <c r="AB5" i="5"/>
  <c r="AB22" i="5" s="1"/>
  <c r="AC6" i="5"/>
  <c r="F7" i="5"/>
  <c r="AC7" i="5" s="1"/>
  <c r="F8" i="5"/>
  <c r="AC8" i="5" s="1"/>
  <c r="F9" i="5"/>
  <c r="AC9" i="5" s="1"/>
  <c r="F10" i="5"/>
  <c r="AC10" i="5" s="1"/>
  <c r="F11" i="5"/>
  <c r="AC11" i="5" s="1"/>
  <c r="F12" i="5"/>
  <c r="AC12" i="5" s="1"/>
  <c r="AE12" i="5" s="1"/>
  <c r="I12" i="5"/>
  <c r="AD12" i="5" s="1"/>
  <c r="F13" i="5"/>
  <c r="AC13" i="5" s="1"/>
  <c r="F14" i="5"/>
  <c r="AC14" i="5" s="1"/>
  <c r="F15" i="5"/>
  <c r="AC15" i="5" s="1"/>
  <c r="F16" i="5"/>
  <c r="AC16" i="5" s="1"/>
  <c r="F17" i="5"/>
  <c r="AC17" i="5" s="1"/>
  <c r="F18" i="5"/>
  <c r="AC18" i="5" s="1"/>
  <c r="AD18" i="5"/>
  <c r="AG18" i="5" s="1"/>
  <c r="N19" i="7" s="1"/>
  <c r="I19" i="7" s="1"/>
  <c r="U14" i="5"/>
  <c r="U10" i="5"/>
  <c r="N6" i="5"/>
  <c r="N7" i="5" s="1"/>
  <c r="AB7" i="5" s="1"/>
  <c r="AB24" i="5" s="1"/>
  <c r="U5" i="5"/>
  <c r="K5" i="4"/>
  <c r="W5" i="4" s="1"/>
  <c r="Y7" i="4"/>
  <c r="K20" i="4"/>
  <c r="W20" i="4" s="1"/>
  <c r="AA6" i="4"/>
  <c r="AA8" i="4"/>
  <c r="AA9" i="4"/>
  <c r="AA10" i="4"/>
  <c r="AA11" i="4"/>
  <c r="AA12" i="4"/>
  <c r="AA14" i="4"/>
  <c r="AA16" i="4"/>
  <c r="AA17" i="4"/>
  <c r="AA18" i="4"/>
  <c r="AA19" i="4"/>
  <c r="AA20" i="4"/>
  <c r="U16" i="4"/>
  <c r="U11" i="4"/>
  <c r="AA5" i="4"/>
  <c r="U5" i="4"/>
  <c r="C15" i="8" l="1"/>
  <c r="B8" i="8"/>
  <c r="B10" i="8"/>
  <c r="B15" i="8"/>
  <c r="C12" i="8"/>
  <c r="B12" i="8" s="1"/>
  <c r="C13" i="8"/>
  <c r="B13" i="8" s="1"/>
  <c r="C9" i="8"/>
  <c r="B9" i="8" s="1"/>
  <c r="K6" i="8"/>
  <c r="J15" i="8"/>
  <c r="K15" i="8" s="1"/>
  <c r="L15" i="8" s="1"/>
  <c r="J14" i="8"/>
  <c r="K14" i="8" s="1"/>
  <c r="L14" i="8" s="1"/>
  <c r="J13" i="8"/>
  <c r="K13" i="8" s="1"/>
  <c r="L13" i="8" s="1"/>
  <c r="J12" i="8"/>
  <c r="K12" i="8" s="1"/>
  <c r="L12" i="8" s="1"/>
  <c r="J11" i="8"/>
  <c r="K11" i="8" s="1"/>
  <c r="L11" i="8" s="1"/>
  <c r="J10" i="8"/>
  <c r="K10" i="8" s="1"/>
  <c r="L10" i="8" s="1"/>
  <c r="J9" i="8"/>
  <c r="K9" i="8" s="1"/>
  <c r="L9" i="8" s="1"/>
  <c r="J8" i="8"/>
  <c r="K8" i="8" s="1"/>
  <c r="L8" i="8" s="1"/>
  <c r="J7" i="8"/>
  <c r="K7" i="8" s="1"/>
  <c r="L7" i="8" s="1"/>
  <c r="C7" i="8"/>
  <c r="B7" i="8" s="1"/>
  <c r="C11" i="8"/>
  <c r="B11" i="8" s="1"/>
  <c r="L5" i="4"/>
  <c r="L20" i="4"/>
  <c r="Q6" i="7"/>
  <c r="L6" i="7"/>
  <c r="L19" i="7"/>
  <c r="AE19" i="7" s="1"/>
  <c r="Q19" i="7"/>
  <c r="AB6" i="7"/>
  <c r="AB19" i="7"/>
  <c r="H19" i="7"/>
  <c r="AD19" i="7" s="1"/>
  <c r="AA19" i="7"/>
  <c r="H6" i="7"/>
  <c r="AD6" i="7" s="1"/>
  <c r="AA6" i="7"/>
  <c r="X6" i="7"/>
  <c r="S8" i="7"/>
  <c r="AD18" i="6"/>
  <c r="AF18" i="6" s="1"/>
  <c r="K5" i="5"/>
  <c r="K5" i="6" s="1"/>
  <c r="W5" i="6" s="1"/>
  <c r="AL5" i="5"/>
  <c r="AL11" i="5"/>
  <c r="AP28" i="5" s="1"/>
  <c r="AL10" i="5"/>
  <c r="AP27" i="5" s="1"/>
  <c r="L17" i="5"/>
  <c r="AL17" i="5"/>
  <c r="AP33" i="5" s="1"/>
  <c r="AL9" i="5"/>
  <c r="AP26" i="5" s="1"/>
  <c r="AL16" i="5"/>
  <c r="AP32" i="5" s="1"/>
  <c r="AL8" i="5"/>
  <c r="AP25" i="5" s="1"/>
  <c r="AL15" i="5"/>
  <c r="AP31" i="5" s="1"/>
  <c r="AL7" i="5"/>
  <c r="AP24" i="5" s="1"/>
  <c r="AS15" i="5"/>
  <c r="AE31" i="5" s="1"/>
  <c r="AL14" i="5"/>
  <c r="AP30" i="5" s="1"/>
  <c r="AL13" i="5"/>
  <c r="AP29" i="5" s="1"/>
  <c r="AL6" i="5"/>
  <c r="AP23" i="5" s="1"/>
  <c r="N6" i="6"/>
  <c r="N7" i="6" s="1"/>
  <c r="U7" i="6" s="1"/>
  <c r="J5" i="6"/>
  <c r="AE5" i="6" s="1"/>
  <c r="AJ29" i="5"/>
  <c r="U5" i="6"/>
  <c r="R18" i="6"/>
  <c r="X18" i="6" s="1"/>
  <c r="AM22" i="5"/>
  <c r="R5" i="5"/>
  <c r="Q18" i="6"/>
  <c r="AA18" i="6" s="1"/>
  <c r="AE34" i="6" s="1"/>
  <c r="AJ28" i="5"/>
  <c r="L15" i="5"/>
  <c r="O5" i="6"/>
  <c r="AJ5" i="6" s="1"/>
  <c r="AO5" i="6" s="1"/>
  <c r="AJ34" i="5"/>
  <c r="AJ27" i="5"/>
  <c r="AJ33" i="5"/>
  <c r="AJ26" i="5"/>
  <c r="AS16" i="5"/>
  <c r="AE32" i="5" s="1"/>
  <c r="AS7" i="5"/>
  <c r="AE24" i="5" s="1"/>
  <c r="AJ32" i="5"/>
  <c r="AJ25" i="5"/>
  <c r="F18" i="6"/>
  <c r="AC18" i="6" s="1"/>
  <c r="AJ31" i="5"/>
  <c r="AK22" i="5"/>
  <c r="AF5" i="5"/>
  <c r="AH5" i="5" s="1"/>
  <c r="AJ30" i="5"/>
  <c r="AJ24" i="5"/>
  <c r="AH33" i="6"/>
  <c r="AH25" i="6"/>
  <c r="AO13" i="6"/>
  <c r="AO6" i="6"/>
  <c r="AF5" i="6"/>
  <c r="AO15" i="6"/>
  <c r="L11" i="5"/>
  <c r="L18" i="5"/>
  <c r="L18" i="6" s="1"/>
  <c r="L10" i="5"/>
  <c r="L9" i="5"/>
  <c r="L16" i="5"/>
  <c r="L8" i="5"/>
  <c r="L7" i="5"/>
  <c r="L14" i="5"/>
  <c r="L13" i="5"/>
  <c r="L6" i="5"/>
  <c r="AS11" i="5"/>
  <c r="AE28" i="5" s="1"/>
  <c r="AC5" i="6"/>
  <c r="AC13" i="6"/>
  <c r="AO10" i="6"/>
  <c r="AH27" i="6"/>
  <c r="AC14" i="6"/>
  <c r="AC8" i="6"/>
  <c r="AC17" i="6"/>
  <c r="AN18" i="6"/>
  <c r="AC10" i="6"/>
  <c r="AC15" i="6"/>
  <c r="AJ11" i="6"/>
  <c r="AH28" i="6" s="1"/>
  <c r="AH23" i="6"/>
  <c r="AH31" i="6"/>
  <c r="AJ7" i="6"/>
  <c r="AJ9" i="6"/>
  <c r="AO9" i="6" s="1"/>
  <c r="AJ18" i="6"/>
  <c r="AP18" i="6" s="1"/>
  <c r="AO8" i="6"/>
  <c r="AJ14" i="6"/>
  <c r="AH30" i="6" s="1"/>
  <c r="AJ16" i="6"/>
  <c r="AH29" i="6"/>
  <c r="AC6" i="6"/>
  <c r="AO17" i="6"/>
  <c r="AH26" i="6"/>
  <c r="AS8" i="5"/>
  <c r="AE25" i="5" s="1"/>
  <c r="AS5" i="5"/>
  <c r="AE22" i="5" s="1"/>
  <c r="G5" i="5"/>
  <c r="G5" i="6" s="1"/>
  <c r="AS13" i="5"/>
  <c r="AE29" i="5" s="1"/>
  <c r="AS10" i="5"/>
  <c r="AE27" i="5" s="1"/>
  <c r="AS17" i="5"/>
  <c r="AE33" i="5" s="1"/>
  <c r="AS9" i="5"/>
  <c r="AE26" i="5" s="1"/>
  <c r="AS14" i="5"/>
  <c r="AE30" i="5" s="1"/>
  <c r="AS6" i="5"/>
  <c r="AE23" i="5" s="1"/>
  <c r="X18" i="5"/>
  <c r="AF18" i="5"/>
  <c r="AE18" i="5" s="1"/>
  <c r="AV34" i="5" s="1"/>
  <c r="AM18" i="5"/>
  <c r="AO18" i="5" s="1"/>
  <c r="AO34" i="5" s="1"/>
  <c r="G18" i="5"/>
  <c r="AB6" i="5"/>
  <c r="AB23" i="5" s="1"/>
  <c r="U6" i="5"/>
  <c r="U7" i="5"/>
  <c r="N8" i="5"/>
  <c r="AB8" i="5" s="1"/>
  <c r="AB25" i="5" s="1"/>
  <c r="I13" i="4"/>
  <c r="I20" i="4"/>
  <c r="I7" i="4"/>
  <c r="V7" i="4" s="1"/>
  <c r="F6" i="4"/>
  <c r="F7" i="4"/>
  <c r="F8" i="4"/>
  <c r="F9" i="4"/>
  <c r="F10" i="4"/>
  <c r="F11" i="4"/>
  <c r="F12" i="4"/>
  <c r="F13" i="4"/>
  <c r="F14" i="4"/>
  <c r="F16" i="4"/>
  <c r="F17" i="4"/>
  <c r="F18" i="4"/>
  <c r="F19" i="4"/>
  <c r="F20" i="4"/>
  <c r="G20" i="4" s="1"/>
  <c r="V20" i="4" s="1"/>
  <c r="F5" i="4"/>
  <c r="G5" i="4" s="1"/>
  <c r="H5" i="4" s="1"/>
  <c r="R20" i="4"/>
  <c r="X20" i="4" s="1"/>
  <c r="N6" i="4"/>
  <c r="I16" i="1"/>
  <c r="O17" i="1"/>
  <c r="N17" i="1" s="1"/>
  <c r="E18" i="2"/>
  <c r="E17" i="2"/>
  <c r="E16" i="2"/>
  <c r="E15" i="2"/>
  <c r="E14" i="2"/>
  <c r="E12" i="2"/>
  <c r="E11" i="2"/>
  <c r="E10" i="2"/>
  <c r="J6" i="2"/>
  <c r="J7" i="2" s="1"/>
  <c r="J9" i="2" s="1"/>
  <c r="J10" i="2" s="1"/>
  <c r="J11" i="2" s="1"/>
  <c r="J12" i="2" s="1"/>
  <c r="J13" i="2" s="1"/>
  <c r="J14" i="2" s="1"/>
  <c r="J15" i="2" s="1"/>
  <c r="J16" i="2" s="1"/>
  <c r="J17" i="2" s="1"/>
  <c r="J18" i="2" s="1"/>
  <c r="D16" i="1"/>
  <c r="C17" i="1"/>
  <c r="D17" i="1" s="1"/>
  <c r="C16" i="1"/>
  <c r="E17" i="1"/>
  <c r="E16" i="1"/>
  <c r="G17" i="1"/>
  <c r="G16" i="1"/>
  <c r="H16" i="1" s="1"/>
  <c r="N16" i="1" s="1"/>
  <c r="O16" i="1" s="1"/>
  <c r="I17" i="1"/>
  <c r="S16" i="1"/>
  <c r="R16" i="1" s="1"/>
  <c r="R17" i="1"/>
  <c r="S17" i="1"/>
  <c r="Q16" i="1"/>
  <c r="Q17" i="1"/>
  <c r="I6" i="1"/>
  <c r="G6" i="1"/>
  <c r="H6" i="1" s="1"/>
  <c r="N6" i="1" s="1"/>
  <c r="O6" i="1" s="1"/>
  <c r="G5" i="1"/>
  <c r="H5" i="1" s="1"/>
  <c r="I5" i="1"/>
  <c r="K6" i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Z20" i="4" l="1"/>
  <c r="L15" i="4"/>
  <c r="K15" i="4" s="1"/>
  <c r="J15" i="4" s="1"/>
  <c r="G15" i="4" s="1"/>
  <c r="H15" i="4" s="1"/>
  <c r="Z5" i="4"/>
  <c r="AM18" i="6"/>
  <c r="AE6" i="7"/>
  <c r="Z8" i="7"/>
  <c r="S9" i="7"/>
  <c r="AQ22" i="5"/>
  <c r="AP22" i="5"/>
  <c r="AP5" i="6"/>
  <c r="AE5" i="5"/>
  <c r="AV22" i="5" s="1"/>
  <c r="AR18" i="5"/>
  <c r="AD34" i="5" s="1"/>
  <c r="AH18" i="5"/>
  <c r="AU34" i="5" s="1"/>
  <c r="AN5" i="6"/>
  <c r="L5" i="5"/>
  <c r="L5" i="6" s="1"/>
  <c r="Z5" i="6" s="1"/>
  <c r="AD22" i="6" s="1"/>
  <c r="AM5" i="6"/>
  <c r="U6" i="6"/>
  <c r="N8" i="6"/>
  <c r="AB8" i="6" s="1"/>
  <c r="AB25" i="6" s="1"/>
  <c r="AB7" i="6"/>
  <c r="AB24" i="6" s="1"/>
  <c r="AL18" i="5"/>
  <c r="AP34" i="5" s="1"/>
  <c r="AB6" i="6"/>
  <c r="AB23" i="6" s="1"/>
  <c r="AH22" i="6"/>
  <c r="Q5" i="5"/>
  <c r="Q5" i="6" s="1"/>
  <c r="AA5" i="6" s="1"/>
  <c r="AE22" i="6" s="1"/>
  <c r="R5" i="6"/>
  <c r="X5" i="6" s="1"/>
  <c r="H18" i="5"/>
  <c r="G18" i="6"/>
  <c r="V18" i="6" s="1"/>
  <c r="AH34" i="6"/>
  <c r="Z18" i="5"/>
  <c r="AO18" i="6"/>
  <c r="V5" i="6"/>
  <c r="W18" i="6"/>
  <c r="AH32" i="6"/>
  <c r="AO16" i="6"/>
  <c r="AO11" i="6"/>
  <c r="AO14" i="6"/>
  <c r="AH24" i="6"/>
  <c r="AO7" i="6"/>
  <c r="AQ18" i="5"/>
  <c r="AC34" i="5" s="1"/>
  <c r="W18" i="5"/>
  <c r="AS18" i="5"/>
  <c r="AE34" i="5" s="1"/>
  <c r="AT18" i="5"/>
  <c r="AF34" i="5" s="1"/>
  <c r="AP5" i="5"/>
  <c r="V18" i="5"/>
  <c r="U8" i="5"/>
  <c r="N9" i="5"/>
  <c r="AB9" i="5" s="1"/>
  <c r="AB26" i="5" s="1"/>
  <c r="N8" i="4"/>
  <c r="U6" i="4"/>
  <c r="H20" i="4"/>
  <c r="Y20" i="4" s="1"/>
  <c r="H17" i="1"/>
  <c r="I12" i="1"/>
  <c r="J13" i="1"/>
  <c r="M12" i="1"/>
  <c r="J7" i="1"/>
  <c r="I13" i="1"/>
  <c r="J14" i="1"/>
  <c r="M13" i="1"/>
  <c r="I15" i="1"/>
  <c r="I14" i="1"/>
  <c r="J15" i="1"/>
  <c r="M14" i="1"/>
  <c r="I7" i="1"/>
  <c r="J8" i="1"/>
  <c r="M7" i="1"/>
  <c r="M15" i="1"/>
  <c r="O15" i="1" s="1"/>
  <c r="I8" i="1"/>
  <c r="J9" i="1"/>
  <c r="M8" i="1"/>
  <c r="O8" i="1" s="1"/>
  <c r="I10" i="1"/>
  <c r="J11" i="1"/>
  <c r="M10" i="1"/>
  <c r="N15" i="1"/>
  <c r="I9" i="1"/>
  <c r="J10" i="1"/>
  <c r="M9" i="1"/>
  <c r="I11" i="1"/>
  <c r="J12" i="1"/>
  <c r="M11" i="1"/>
  <c r="N7" i="1"/>
  <c r="N8" i="1"/>
  <c r="H8" i="1"/>
  <c r="G8" i="1" s="1"/>
  <c r="N10" i="1"/>
  <c r="N12" i="1"/>
  <c r="N13" i="1"/>
  <c r="N14" i="1"/>
  <c r="N9" i="1"/>
  <c r="N11" i="1"/>
  <c r="H9" i="1"/>
  <c r="G9" i="1" s="1"/>
  <c r="H10" i="1"/>
  <c r="G10" i="1" s="1"/>
  <c r="H11" i="1"/>
  <c r="H12" i="1"/>
  <c r="H14" i="1"/>
  <c r="G14" i="1" s="1"/>
  <c r="H7" i="1"/>
  <c r="G7" i="1" s="1"/>
  <c r="H13" i="1"/>
  <c r="G13" i="1" s="1"/>
  <c r="H15" i="1"/>
  <c r="S10" i="7" l="1"/>
  <c r="Z9" i="7"/>
  <c r="N9" i="6"/>
  <c r="AB9" i="6" s="1"/>
  <c r="AB26" i="6" s="1"/>
  <c r="U8" i="6"/>
  <c r="AT5" i="5"/>
  <c r="AF22" i="5" s="1"/>
  <c r="AO5" i="5"/>
  <c r="Y18" i="5"/>
  <c r="H18" i="6"/>
  <c r="Y18" i="6" s="1"/>
  <c r="AC34" i="6" s="1"/>
  <c r="Z18" i="6"/>
  <c r="AD34" i="6" s="1"/>
  <c r="N11" i="5"/>
  <c r="AB11" i="5" s="1"/>
  <c r="AB28" i="5" s="1"/>
  <c r="U9" i="5"/>
  <c r="V5" i="4"/>
  <c r="Y5" i="4"/>
  <c r="X5" i="4"/>
  <c r="N9" i="4"/>
  <c r="U8" i="4"/>
  <c r="O7" i="1"/>
  <c r="O12" i="1"/>
  <c r="G11" i="1"/>
  <c r="O13" i="1"/>
  <c r="G15" i="1"/>
  <c r="O10" i="1"/>
  <c r="O11" i="1"/>
  <c r="O14" i="1"/>
  <c r="G12" i="1"/>
  <c r="O9" i="1"/>
  <c r="S12" i="7" l="1"/>
  <c r="Z10" i="7"/>
  <c r="AT22" i="5"/>
  <c r="AO22" i="5"/>
  <c r="AS22" i="5"/>
  <c r="U9" i="6"/>
  <c r="N11" i="6"/>
  <c r="N13" i="6" s="1"/>
  <c r="N13" i="5"/>
  <c r="AB13" i="5" s="1"/>
  <c r="AB29" i="5" s="1"/>
  <c r="U11" i="5"/>
  <c r="N10" i="4"/>
  <c r="U9" i="4"/>
  <c r="S14" i="7" l="1"/>
  <c r="Z12" i="7"/>
  <c r="AB11" i="6"/>
  <c r="AB28" i="6" s="1"/>
  <c r="U11" i="6"/>
  <c r="N15" i="6"/>
  <c r="U13" i="6"/>
  <c r="AB13" i="6"/>
  <c r="AB29" i="6" s="1"/>
  <c r="U13" i="5"/>
  <c r="N15" i="5"/>
  <c r="AB15" i="5" s="1"/>
  <c r="AB31" i="5" s="1"/>
  <c r="N12" i="4"/>
  <c r="U10" i="4"/>
  <c r="Z14" i="7" l="1"/>
  <c r="S16" i="7"/>
  <c r="N16" i="6"/>
  <c r="U15" i="6"/>
  <c r="AB15" i="6"/>
  <c r="AB31" i="6" s="1"/>
  <c r="U15" i="5"/>
  <c r="N16" i="5"/>
  <c r="AB16" i="5" s="1"/>
  <c r="AB32" i="5" s="1"/>
  <c r="N14" i="4"/>
  <c r="U12" i="4"/>
  <c r="Z16" i="7" l="1"/>
  <c r="S17" i="7"/>
  <c r="U16" i="6"/>
  <c r="AB16" i="6"/>
  <c r="AB32" i="6" s="1"/>
  <c r="N17" i="6"/>
  <c r="U16" i="5"/>
  <c r="N17" i="5"/>
  <c r="AB17" i="5" s="1"/>
  <c r="AB33" i="5" s="1"/>
  <c r="N17" i="4"/>
  <c r="U14" i="4"/>
  <c r="Z17" i="7" l="1"/>
  <c r="S18" i="7"/>
  <c r="U17" i="6"/>
  <c r="AB17" i="6"/>
  <c r="AB33" i="6" s="1"/>
  <c r="N18" i="5"/>
  <c r="U17" i="5"/>
  <c r="N18" i="4"/>
  <c r="U17" i="4"/>
  <c r="S19" i="7" l="1"/>
  <c r="Z18" i="7"/>
  <c r="AB18" i="5"/>
  <c r="AB34" i="5" s="1"/>
  <c r="N18" i="6"/>
  <c r="AB18" i="6" s="1"/>
  <c r="AB34" i="6" s="1"/>
  <c r="AD15" i="5"/>
  <c r="AD17" i="5"/>
  <c r="AD14" i="5"/>
  <c r="AD11" i="5"/>
  <c r="AD8" i="5"/>
  <c r="AD10" i="5"/>
  <c r="AD16" i="5"/>
  <c r="AD13" i="5"/>
  <c r="AD7" i="5"/>
  <c r="AD6" i="5"/>
  <c r="AD9" i="5"/>
  <c r="U18" i="5"/>
  <c r="N19" i="4"/>
  <c r="U18" i="4"/>
  <c r="T15" i="7" l="1"/>
  <c r="T16" i="7"/>
  <c r="T8" i="7"/>
  <c r="T17" i="7"/>
  <c r="T9" i="7"/>
  <c r="T18" i="7"/>
  <c r="T10" i="7"/>
  <c r="U12" i="7"/>
  <c r="W12" i="7" s="1"/>
  <c r="T11" i="7"/>
  <c r="T7" i="7"/>
  <c r="T12" i="7"/>
  <c r="U7" i="7"/>
  <c r="W7" i="7" s="1"/>
  <c r="T14" i="7"/>
  <c r="R15" i="7"/>
  <c r="Q8" i="7"/>
  <c r="R10" i="7"/>
  <c r="Q17" i="7"/>
  <c r="N7" i="7"/>
  <c r="I7" i="7" s="1"/>
  <c r="R17" i="7"/>
  <c r="R12" i="7"/>
  <c r="Q16" i="7"/>
  <c r="Q12" i="7"/>
  <c r="Q10" i="7"/>
  <c r="Q7" i="7"/>
  <c r="Q11" i="7"/>
  <c r="R18" i="7"/>
  <c r="N18" i="7"/>
  <c r="R9" i="7"/>
  <c r="Q15" i="7"/>
  <c r="R16" i="7"/>
  <c r="Q18" i="7"/>
  <c r="R7" i="7"/>
  <c r="Q9" i="7"/>
  <c r="R11" i="7"/>
  <c r="R8" i="7"/>
  <c r="R14" i="7"/>
  <c r="Q14" i="7"/>
  <c r="L7" i="7"/>
  <c r="K7" i="7" s="1"/>
  <c r="AG17" i="5"/>
  <c r="U18" i="7"/>
  <c r="W18" i="7" s="1"/>
  <c r="N16" i="7"/>
  <c r="I16" i="7" s="1"/>
  <c r="U9" i="7"/>
  <c r="W9" i="7" s="1"/>
  <c r="U15" i="7"/>
  <c r="W15" i="7" s="1"/>
  <c r="N15" i="7"/>
  <c r="I15" i="7" s="1"/>
  <c r="N12" i="7"/>
  <c r="I12" i="7" s="1"/>
  <c r="N9" i="7"/>
  <c r="I9" i="7" s="1"/>
  <c r="U17" i="7"/>
  <c r="W17" i="7" s="1"/>
  <c r="U14" i="7"/>
  <c r="W14" i="7" s="1"/>
  <c r="U11" i="7"/>
  <c r="W11" i="7" s="1"/>
  <c r="U8" i="7"/>
  <c r="W8" i="7" s="1"/>
  <c r="N11" i="7"/>
  <c r="I11" i="7" s="1"/>
  <c r="N17" i="7"/>
  <c r="I17" i="7" s="1"/>
  <c r="N14" i="7"/>
  <c r="I14" i="7" s="1"/>
  <c r="U10" i="7"/>
  <c r="W10" i="7" s="1"/>
  <c r="N8" i="7"/>
  <c r="I8" i="7" s="1"/>
  <c r="Z19" i="7"/>
  <c r="U16" i="7"/>
  <c r="W16" i="7" s="1"/>
  <c r="N10" i="7"/>
  <c r="I10" i="7" s="1"/>
  <c r="L14" i="7"/>
  <c r="L9" i="7"/>
  <c r="L15" i="7"/>
  <c r="L17" i="7"/>
  <c r="L12" i="7"/>
  <c r="L11" i="7"/>
  <c r="L18" i="7"/>
  <c r="K18" i="7" s="1"/>
  <c r="J18" i="7" s="1"/>
  <c r="L8" i="7"/>
  <c r="L10" i="7"/>
  <c r="L16" i="7"/>
  <c r="AG7" i="5"/>
  <c r="AG13" i="5"/>
  <c r="AG10" i="5"/>
  <c r="AG16" i="5"/>
  <c r="AG8" i="5"/>
  <c r="AG11" i="5"/>
  <c r="AG9" i="5"/>
  <c r="AG14" i="5"/>
  <c r="AG6" i="5"/>
  <c r="AG15" i="5"/>
  <c r="L16" i="6"/>
  <c r="Z16" i="6" s="1"/>
  <c r="AD32" i="6" s="1"/>
  <c r="L11" i="6"/>
  <c r="L14" i="6"/>
  <c r="L6" i="6"/>
  <c r="L13" i="6"/>
  <c r="Z13" i="6" s="1"/>
  <c r="AD29" i="6" s="1"/>
  <c r="L17" i="6"/>
  <c r="Z17" i="6" s="1"/>
  <c r="AD33" i="6" s="1"/>
  <c r="L8" i="6"/>
  <c r="Z8" i="6" s="1"/>
  <c r="AD25" i="6" s="1"/>
  <c r="L9" i="6"/>
  <c r="Z9" i="6" s="1"/>
  <c r="AD26" i="6" s="1"/>
  <c r="L7" i="6"/>
  <c r="Z7" i="6" s="1"/>
  <c r="AD24" i="6" s="1"/>
  <c r="L15" i="6"/>
  <c r="Z15" i="6" s="1"/>
  <c r="AD31" i="6" s="1"/>
  <c r="M7" i="6"/>
  <c r="I7" i="6" s="1"/>
  <c r="AD7" i="6" s="1"/>
  <c r="AF7" i="6" s="1"/>
  <c r="M6" i="6"/>
  <c r="P14" i="6"/>
  <c r="M10" i="6"/>
  <c r="I10" i="6" s="1"/>
  <c r="AD10" i="6" s="1"/>
  <c r="AF10" i="6" s="1"/>
  <c r="P6" i="6"/>
  <c r="P7" i="6"/>
  <c r="M14" i="6"/>
  <c r="I14" i="6" s="1"/>
  <c r="AD14" i="6" s="1"/>
  <c r="AF14" i="6" s="1"/>
  <c r="P10" i="6"/>
  <c r="M8" i="6"/>
  <c r="I8" i="6" s="1"/>
  <c r="AD8" i="6" s="1"/>
  <c r="AF8" i="6" s="1"/>
  <c r="P8" i="6"/>
  <c r="M9" i="6"/>
  <c r="I9" i="6" s="1"/>
  <c r="AD9" i="6" s="1"/>
  <c r="AF9" i="6" s="1"/>
  <c r="P9" i="6"/>
  <c r="M11" i="6"/>
  <c r="I11" i="6" s="1"/>
  <c r="AD11" i="6" s="1"/>
  <c r="AF11" i="6" s="1"/>
  <c r="P11" i="6"/>
  <c r="M13" i="6"/>
  <c r="I13" i="6" s="1"/>
  <c r="AD13" i="6" s="1"/>
  <c r="AF13" i="6" s="1"/>
  <c r="P13" i="6"/>
  <c r="M15" i="6"/>
  <c r="I15" i="6" s="1"/>
  <c r="AD15" i="6" s="1"/>
  <c r="AF15" i="6" s="1"/>
  <c r="P15" i="6"/>
  <c r="P16" i="6"/>
  <c r="M16" i="6"/>
  <c r="I16" i="6" s="1"/>
  <c r="AD16" i="6" s="1"/>
  <c r="AF16" i="6" s="1"/>
  <c r="P17" i="6"/>
  <c r="M17" i="6"/>
  <c r="I17" i="6" s="1"/>
  <c r="AD17" i="6" s="1"/>
  <c r="AF17" i="6" s="1"/>
  <c r="L10" i="6"/>
  <c r="Z10" i="6" s="1"/>
  <c r="AD27" i="6" s="1"/>
  <c r="U18" i="6"/>
  <c r="Z14" i="6"/>
  <c r="AD30" i="6" s="1"/>
  <c r="Z6" i="6"/>
  <c r="AD23" i="6" s="1"/>
  <c r="AP15" i="5"/>
  <c r="AP14" i="5"/>
  <c r="AP13" i="5"/>
  <c r="AP8" i="5"/>
  <c r="AP16" i="5"/>
  <c r="AP11" i="5"/>
  <c r="AP9" i="5"/>
  <c r="AP7" i="5"/>
  <c r="AP10" i="5"/>
  <c r="AP17" i="5"/>
  <c r="N20" i="4"/>
  <c r="U19" i="4"/>
  <c r="M17" i="4" l="1"/>
  <c r="I17" i="4" s="1"/>
  <c r="M19" i="4"/>
  <c r="I19" i="4" s="1"/>
  <c r="M8" i="4"/>
  <c r="I8" i="4" s="1"/>
  <c r="M10" i="4"/>
  <c r="I10" i="4" s="1"/>
  <c r="M14" i="4"/>
  <c r="I14" i="4" s="1"/>
  <c r="P18" i="4"/>
  <c r="R18" i="4" s="1"/>
  <c r="M9" i="4"/>
  <c r="I9" i="4" s="1"/>
  <c r="M11" i="4"/>
  <c r="M6" i="4"/>
  <c r="I6" i="4" s="1"/>
  <c r="M7" i="4"/>
  <c r="M16" i="4"/>
  <c r="I16" i="4" s="1"/>
  <c r="M12" i="4"/>
  <c r="I12" i="4" s="1"/>
  <c r="M18" i="4"/>
  <c r="I18" i="4" s="1"/>
  <c r="L9" i="4"/>
  <c r="Z9" i="4" s="1"/>
  <c r="L6" i="4"/>
  <c r="K6" i="4" s="1"/>
  <c r="L16" i="4"/>
  <c r="K16" i="4" s="1"/>
  <c r="J16" i="4" s="1"/>
  <c r="I18" i="7"/>
  <c r="AE18" i="7"/>
  <c r="AE12" i="7"/>
  <c r="K12" i="7"/>
  <c r="AC16" i="7"/>
  <c r="X16" i="7"/>
  <c r="O16" i="7" s="1"/>
  <c r="X7" i="7"/>
  <c r="O7" i="7" s="1"/>
  <c r="AC7" i="7"/>
  <c r="AE11" i="7"/>
  <c r="K11" i="7"/>
  <c r="AE7" i="7"/>
  <c r="X8" i="7"/>
  <c r="O8" i="7" s="1"/>
  <c r="AC8" i="7"/>
  <c r="AC15" i="7"/>
  <c r="X15" i="7"/>
  <c r="O15" i="7" s="1"/>
  <c r="AE17" i="7"/>
  <c r="K17" i="7"/>
  <c r="X11" i="7"/>
  <c r="O11" i="7" s="1"/>
  <c r="AC11" i="7"/>
  <c r="X9" i="7"/>
  <c r="O9" i="7" s="1"/>
  <c r="AC9" i="7"/>
  <c r="K16" i="7"/>
  <c r="AE16" i="7"/>
  <c r="AE15" i="7"/>
  <c r="K15" i="7"/>
  <c r="X14" i="7"/>
  <c r="O14" i="7" s="1"/>
  <c r="AC14" i="7"/>
  <c r="X12" i="7"/>
  <c r="O12" i="7" s="1"/>
  <c r="AC12" i="7"/>
  <c r="K10" i="7"/>
  <c r="AE10" i="7"/>
  <c r="AE9" i="7"/>
  <c r="K9" i="7"/>
  <c r="X10" i="7"/>
  <c r="O10" i="7" s="1"/>
  <c r="AC10" i="7"/>
  <c r="X17" i="7"/>
  <c r="O17" i="7" s="1"/>
  <c r="AC17" i="7"/>
  <c r="AE8" i="7"/>
  <c r="K8" i="7"/>
  <c r="AE14" i="7"/>
  <c r="K14" i="7"/>
  <c r="AC18" i="7"/>
  <c r="X18" i="7"/>
  <c r="O18" i="7" s="1"/>
  <c r="K9" i="6"/>
  <c r="J9" i="6" s="1"/>
  <c r="K8" i="6"/>
  <c r="W8" i="6" s="1"/>
  <c r="K11" i="6"/>
  <c r="W11" i="6" s="1"/>
  <c r="K15" i="6"/>
  <c r="W15" i="6" s="1"/>
  <c r="K10" i="6"/>
  <c r="J10" i="6" s="1"/>
  <c r="G10" i="6" s="1"/>
  <c r="AT16" i="5"/>
  <c r="AF32" i="5" s="1"/>
  <c r="AO16" i="5"/>
  <c r="AO32" i="5" s="1"/>
  <c r="AT8" i="5"/>
  <c r="AF25" i="5" s="1"/>
  <c r="AO8" i="5"/>
  <c r="AO25" i="5" s="1"/>
  <c r="K7" i="6"/>
  <c r="J7" i="6" s="1"/>
  <c r="AT13" i="5"/>
  <c r="AF29" i="5" s="1"/>
  <c r="AO13" i="5"/>
  <c r="AO29" i="5" s="1"/>
  <c r="Z11" i="6"/>
  <c r="AD28" i="6" s="1"/>
  <c r="AT14" i="5"/>
  <c r="AF30" i="5" s="1"/>
  <c r="AO14" i="5"/>
  <c r="AO30" i="5" s="1"/>
  <c r="AT9" i="5"/>
  <c r="AF26" i="5" s="1"/>
  <c r="AO9" i="5"/>
  <c r="AO26" i="5" s="1"/>
  <c r="AT17" i="5"/>
  <c r="AF33" i="5" s="1"/>
  <c r="AO17" i="5"/>
  <c r="AO33" i="5" s="1"/>
  <c r="AT10" i="5"/>
  <c r="AF27" i="5" s="1"/>
  <c r="AO10" i="5"/>
  <c r="AO27" i="5" s="1"/>
  <c r="AT15" i="5"/>
  <c r="AF31" i="5" s="1"/>
  <c r="AO15" i="5"/>
  <c r="AO31" i="5" s="1"/>
  <c r="K17" i="6"/>
  <c r="J17" i="6" s="1"/>
  <c r="AT11" i="5"/>
  <c r="AF28" i="5" s="1"/>
  <c r="AO11" i="5"/>
  <c r="AO28" i="5" s="1"/>
  <c r="AT7" i="5"/>
  <c r="AF24" i="5" s="1"/>
  <c r="AO7" i="5"/>
  <c r="AO24" i="5" s="1"/>
  <c r="AK11" i="6"/>
  <c r="R11" i="6"/>
  <c r="AK7" i="6"/>
  <c r="R7" i="6"/>
  <c r="AK10" i="6"/>
  <c r="R10" i="6"/>
  <c r="R17" i="6"/>
  <c r="AK17" i="6"/>
  <c r="AK6" i="6"/>
  <c r="R6" i="6"/>
  <c r="AK13" i="6"/>
  <c r="R13" i="6"/>
  <c r="AK9" i="6"/>
  <c r="R9" i="6"/>
  <c r="K14" i="6"/>
  <c r="W14" i="6" s="1"/>
  <c r="R16" i="6"/>
  <c r="AK16" i="6"/>
  <c r="AK14" i="6"/>
  <c r="R14" i="6"/>
  <c r="R15" i="6"/>
  <c r="AK15" i="6"/>
  <c r="AK8" i="6"/>
  <c r="R8" i="6"/>
  <c r="K6" i="6"/>
  <c r="J6" i="6" s="1"/>
  <c r="I6" i="6"/>
  <c r="AD6" i="6" s="1"/>
  <c r="AF6" i="6" s="1"/>
  <c r="K16" i="6"/>
  <c r="J16" i="6" s="1"/>
  <c r="K13" i="6"/>
  <c r="W13" i="6" s="1"/>
  <c r="L11" i="4"/>
  <c r="P12" i="4"/>
  <c r="P8" i="4"/>
  <c r="R8" i="4" s="1"/>
  <c r="U20" i="4"/>
  <c r="R12" i="4"/>
  <c r="P9" i="4"/>
  <c r="R9" i="4" s="1"/>
  <c r="L12" i="4"/>
  <c r="Z12" i="4" s="1"/>
  <c r="P11" i="4"/>
  <c r="R11" i="4" s="1"/>
  <c r="P6" i="4"/>
  <c r="R6" i="4" s="1"/>
  <c r="P16" i="4"/>
  <c r="R16" i="4" s="1"/>
  <c r="Z17" i="4"/>
  <c r="L19" i="4"/>
  <c r="Z19" i="4" s="1"/>
  <c r="L18" i="4"/>
  <c r="L10" i="4"/>
  <c r="Z10" i="4" s="1"/>
  <c r="P19" i="4"/>
  <c r="R19" i="4" s="1"/>
  <c r="P14" i="4"/>
  <c r="R14" i="4" s="1"/>
  <c r="P10" i="4"/>
  <c r="R10" i="4" s="1"/>
  <c r="L8" i="4"/>
  <c r="Z8" i="4" s="1"/>
  <c r="L14" i="4"/>
  <c r="Z14" i="4" s="1"/>
  <c r="P17" i="4"/>
  <c r="R17" i="4" s="1"/>
  <c r="Z6" i="4" l="1"/>
  <c r="K11" i="4"/>
  <c r="J11" i="4" s="1"/>
  <c r="J8" i="6"/>
  <c r="I11" i="4"/>
  <c r="Z16" i="4"/>
  <c r="Z18" i="4"/>
  <c r="K18" i="4"/>
  <c r="J18" i="4" s="1"/>
  <c r="W7" i="6"/>
  <c r="W9" i="6"/>
  <c r="J11" i="6"/>
  <c r="W10" i="6"/>
  <c r="AB16" i="7"/>
  <c r="J16" i="7"/>
  <c r="G16" i="7" s="1"/>
  <c r="AB10" i="7"/>
  <c r="J10" i="7"/>
  <c r="G10" i="7" s="1"/>
  <c r="J7" i="7"/>
  <c r="G7" i="7" s="1"/>
  <c r="AB7" i="7"/>
  <c r="AB12" i="7"/>
  <c r="J12" i="7"/>
  <c r="G12" i="7" s="1"/>
  <c r="J8" i="7"/>
  <c r="G8" i="7" s="1"/>
  <c r="AB8" i="7"/>
  <c r="J14" i="7"/>
  <c r="G14" i="7" s="1"/>
  <c r="AB14" i="7"/>
  <c r="AB15" i="7"/>
  <c r="J15" i="7"/>
  <c r="G15" i="7" s="1"/>
  <c r="J17" i="7"/>
  <c r="G17" i="7" s="1"/>
  <c r="AB17" i="7"/>
  <c r="AB11" i="7"/>
  <c r="J11" i="7"/>
  <c r="G11" i="7" s="1"/>
  <c r="AB18" i="7"/>
  <c r="G18" i="7"/>
  <c r="AB9" i="7"/>
  <c r="J9" i="7"/>
  <c r="G9" i="7" s="1"/>
  <c r="W17" i="6"/>
  <c r="J15" i="6"/>
  <c r="AE15" i="6" s="1"/>
  <c r="W16" i="6"/>
  <c r="AE10" i="6"/>
  <c r="AN10" i="6" s="1"/>
  <c r="J14" i="6"/>
  <c r="G14" i="6" s="1"/>
  <c r="W6" i="6"/>
  <c r="X9" i="6"/>
  <c r="S9" i="6"/>
  <c r="AL9" i="6" s="1"/>
  <c r="AP9" i="6" s="1"/>
  <c r="V10" i="6"/>
  <c r="H10" i="6"/>
  <c r="Y10" i="6" s="1"/>
  <c r="AC27" i="6" s="1"/>
  <c r="S15" i="6"/>
  <c r="AL15" i="6" s="1"/>
  <c r="AP15" i="6" s="1"/>
  <c r="X15" i="6"/>
  <c r="X13" i="6"/>
  <c r="S13" i="6"/>
  <c r="AL13" i="6" s="1"/>
  <c r="AP13" i="6" s="1"/>
  <c r="X10" i="6"/>
  <c r="S10" i="6"/>
  <c r="AL10" i="6" s="1"/>
  <c r="AP10" i="6" s="1"/>
  <c r="X14" i="6"/>
  <c r="S14" i="6"/>
  <c r="AL14" i="6" s="1"/>
  <c r="AP14" i="6" s="1"/>
  <c r="X7" i="6"/>
  <c r="S7" i="6"/>
  <c r="AL7" i="6" s="1"/>
  <c r="AP7" i="6" s="1"/>
  <c r="X6" i="6"/>
  <c r="S6" i="6"/>
  <c r="AL6" i="6" s="1"/>
  <c r="AP6" i="6" s="1"/>
  <c r="J13" i="6"/>
  <c r="AE13" i="6" s="1"/>
  <c r="S16" i="6"/>
  <c r="AL16" i="6" s="1"/>
  <c r="AP16" i="6" s="1"/>
  <c r="X16" i="6"/>
  <c r="X11" i="6"/>
  <c r="S11" i="6"/>
  <c r="AL11" i="6" s="1"/>
  <c r="AP11" i="6" s="1"/>
  <c r="S8" i="6"/>
  <c r="AL8" i="6" s="1"/>
  <c r="AP8" i="6" s="1"/>
  <c r="X8" i="6"/>
  <c r="X17" i="6"/>
  <c r="S17" i="6"/>
  <c r="AL17" i="6" s="1"/>
  <c r="AP17" i="6" s="1"/>
  <c r="AE7" i="6"/>
  <c r="G7" i="6"/>
  <c r="G9" i="6"/>
  <c r="AE9" i="6"/>
  <c r="AE8" i="6"/>
  <c r="G8" i="6"/>
  <c r="AE11" i="6"/>
  <c r="G11" i="6"/>
  <c r="AE16" i="6"/>
  <c r="G16" i="6"/>
  <c r="AE17" i="6"/>
  <c r="G17" i="6"/>
  <c r="G13" i="5"/>
  <c r="H13" i="5" s="1"/>
  <c r="Y13" i="5" s="1"/>
  <c r="AF13" i="5"/>
  <c r="G17" i="5"/>
  <c r="H17" i="5" s="1"/>
  <c r="Y17" i="5" s="1"/>
  <c r="AF17" i="5"/>
  <c r="G15" i="5"/>
  <c r="V15" i="5" s="1"/>
  <c r="AF15" i="5"/>
  <c r="G11" i="5"/>
  <c r="H11" i="5" s="1"/>
  <c r="Y11" i="5" s="1"/>
  <c r="AF11" i="5"/>
  <c r="G14" i="5"/>
  <c r="H14" i="5" s="1"/>
  <c r="Y14" i="5" s="1"/>
  <c r="AF14" i="5"/>
  <c r="G16" i="5"/>
  <c r="H16" i="5" s="1"/>
  <c r="Y16" i="5" s="1"/>
  <c r="AF16" i="5"/>
  <c r="G7" i="5"/>
  <c r="V7" i="5" s="1"/>
  <c r="AF7" i="5"/>
  <c r="Z11" i="4"/>
  <c r="S16" i="4"/>
  <c r="X16" i="4"/>
  <c r="S6" i="4"/>
  <c r="X6" i="4"/>
  <c r="S11" i="4"/>
  <c r="X11" i="4"/>
  <c r="K9" i="4"/>
  <c r="W9" i="4" s="1"/>
  <c r="S19" i="4"/>
  <c r="X19" i="4"/>
  <c r="K8" i="4"/>
  <c r="K10" i="4"/>
  <c r="W10" i="4" s="1"/>
  <c r="K12" i="4"/>
  <c r="W12" i="4" s="1"/>
  <c r="S17" i="4"/>
  <c r="X17" i="4"/>
  <c r="K14" i="4"/>
  <c r="W14" i="4" s="1"/>
  <c r="S9" i="4"/>
  <c r="X9" i="4"/>
  <c r="S12" i="4"/>
  <c r="X12" i="4"/>
  <c r="S10" i="4"/>
  <c r="X10" i="4"/>
  <c r="K19" i="4"/>
  <c r="W19" i="4" s="1"/>
  <c r="S18" i="4"/>
  <c r="X18" i="4"/>
  <c r="W16" i="4"/>
  <c r="S14" i="4"/>
  <c r="X14" i="4"/>
  <c r="K17" i="4"/>
  <c r="W17" i="4" s="1"/>
  <c r="S8" i="4"/>
  <c r="X8" i="4"/>
  <c r="W18" i="4" l="1"/>
  <c r="W8" i="4"/>
  <c r="J8" i="4"/>
  <c r="W11" i="4"/>
  <c r="AE14" i="6"/>
  <c r="AN14" i="6" s="1"/>
  <c r="G15" i="6"/>
  <c r="AA12" i="7"/>
  <c r="H12" i="7"/>
  <c r="AD12" i="7" s="1"/>
  <c r="AA9" i="7"/>
  <c r="H9" i="7"/>
  <c r="AD9" i="7" s="1"/>
  <c r="AA15" i="7"/>
  <c r="H15" i="7"/>
  <c r="AD15" i="7" s="1"/>
  <c r="H7" i="7"/>
  <c r="AD7" i="7" s="1"/>
  <c r="AA7" i="7"/>
  <c r="AA18" i="7"/>
  <c r="H18" i="7"/>
  <c r="AD18" i="7" s="1"/>
  <c r="AA10" i="7"/>
  <c r="H10" i="7"/>
  <c r="AD10" i="7" s="1"/>
  <c r="H14" i="7"/>
  <c r="AD14" i="7" s="1"/>
  <c r="AA14" i="7"/>
  <c r="H17" i="7"/>
  <c r="AD17" i="7" s="1"/>
  <c r="AA17" i="7"/>
  <c r="H11" i="7"/>
  <c r="AD11" i="7" s="1"/>
  <c r="AA11" i="7"/>
  <c r="AA16" i="7"/>
  <c r="H16" i="7"/>
  <c r="AD16" i="7" s="1"/>
  <c r="H8" i="7"/>
  <c r="AD8" i="7" s="1"/>
  <c r="AA8" i="7"/>
  <c r="AH14" i="5"/>
  <c r="AU30" i="5" s="1"/>
  <c r="AE14" i="5"/>
  <c r="AV30" i="5" s="1"/>
  <c r="AH13" i="5"/>
  <c r="AU29" i="5" s="1"/>
  <c r="AE13" i="5"/>
  <c r="AV29" i="5" s="1"/>
  <c r="AH11" i="5"/>
  <c r="AU28" i="5" s="1"/>
  <c r="AE11" i="5"/>
  <c r="AV28" i="5" s="1"/>
  <c r="AH7" i="5"/>
  <c r="AU24" i="5" s="1"/>
  <c r="AE7" i="5"/>
  <c r="AV24" i="5" s="1"/>
  <c r="AH15" i="5"/>
  <c r="AU31" i="5" s="1"/>
  <c r="AE15" i="5"/>
  <c r="AV31" i="5" s="1"/>
  <c r="AH16" i="5"/>
  <c r="AU32" i="5" s="1"/>
  <c r="AE16" i="5"/>
  <c r="AV32" i="5" s="1"/>
  <c r="AH17" i="5"/>
  <c r="AU33" i="5" s="1"/>
  <c r="AE17" i="5"/>
  <c r="AV33" i="5" s="1"/>
  <c r="AM10" i="6"/>
  <c r="G13" i="6"/>
  <c r="V13" i="6" s="1"/>
  <c r="V9" i="6"/>
  <c r="H9" i="6"/>
  <c r="Y9" i="6" s="1"/>
  <c r="AC26" i="6" s="1"/>
  <c r="V7" i="6"/>
  <c r="H7" i="6"/>
  <c r="Y7" i="6" s="1"/>
  <c r="AC24" i="6" s="1"/>
  <c r="AM14" i="6"/>
  <c r="AN13" i="6"/>
  <c r="AM13" i="6"/>
  <c r="AM7" i="6"/>
  <c r="AN7" i="6"/>
  <c r="H17" i="6"/>
  <c r="Y17" i="6" s="1"/>
  <c r="AC33" i="6" s="1"/>
  <c r="V17" i="6"/>
  <c r="V11" i="6"/>
  <c r="H11" i="6"/>
  <c r="Y11" i="6" s="1"/>
  <c r="AC28" i="6" s="1"/>
  <c r="AN15" i="6"/>
  <c r="AM15" i="6"/>
  <c r="V14" i="6"/>
  <c r="H14" i="6"/>
  <c r="Y14" i="6" s="1"/>
  <c r="AC30" i="6" s="1"/>
  <c r="AM17" i="6"/>
  <c r="AN17" i="6"/>
  <c r="AN11" i="6"/>
  <c r="AM11" i="6"/>
  <c r="V16" i="6"/>
  <c r="H16" i="6"/>
  <c r="Y16" i="6" s="1"/>
  <c r="AC32" i="6" s="1"/>
  <c r="V8" i="6"/>
  <c r="H8" i="6"/>
  <c r="Y8" i="6" s="1"/>
  <c r="AC25" i="6" s="1"/>
  <c r="AN16" i="6"/>
  <c r="AM16" i="6"/>
  <c r="AN8" i="6"/>
  <c r="AM8" i="6"/>
  <c r="H15" i="6"/>
  <c r="Y15" i="6" s="1"/>
  <c r="AC31" i="6" s="1"/>
  <c r="V15" i="6"/>
  <c r="AM9" i="6"/>
  <c r="AN9" i="6"/>
  <c r="W6" i="4"/>
  <c r="J6" i="4"/>
  <c r="AR7" i="5"/>
  <c r="AD24" i="5" s="1"/>
  <c r="AQ7" i="5"/>
  <c r="AC24" i="5" s="1"/>
  <c r="AR11" i="5"/>
  <c r="AD28" i="5" s="1"/>
  <c r="AQ11" i="5"/>
  <c r="AC28" i="5" s="1"/>
  <c r="AR13" i="5"/>
  <c r="AD29" i="5" s="1"/>
  <c r="AQ13" i="5"/>
  <c r="AC29" i="5" s="1"/>
  <c r="AR14" i="5"/>
  <c r="AD30" i="5" s="1"/>
  <c r="AQ14" i="5"/>
  <c r="AC30" i="5" s="1"/>
  <c r="AR17" i="5"/>
  <c r="AD33" i="5" s="1"/>
  <c r="AQ17" i="5"/>
  <c r="AC33" i="5" s="1"/>
  <c r="AQ15" i="5"/>
  <c r="AC31" i="5" s="1"/>
  <c r="AR15" i="5"/>
  <c r="AD31" i="5" s="1"/>
  <c r="AR16" i="5"/>
  <c r="AD32" i="5" s="1"/>
  <c r="AQ16" i="5"/>
  <c r="AC32" i="5" s="1"/>
  <c r="H7" i="5"/>
  <c r="Y7" i="5" s="1"/>
  <c r="V17" i="5"/>
  <c r="V14" i="5"/>
  <c r="H15" i="5"/>
  <c r="Y15" i="5" s="1"/>
  <c r="V13" i="5"/>
  <c r="V11" i="5"/>
  <c r="V16" i="5"/>
  <c r="G18" i="4"/>
  <c r="V18" i="4" s="1"/>
  <c r="J10" i="4"/>
  <c r="J14" i="4"/>
  <c r="G14" i="4" s="1"/>
  <c r="V14" i="4" s="1"/>
  <c r="J19" i="4"/>
  <c r="G19" i="4" s="1"/>
  <c r="V19" i="4" s="1"/>
  <c r="G16" i="4"/>
  <c r="V16" i="4" s="1"/>
  <c r="J17" i="4"/>
  <c r="G17" i="4" s="1"/>
  <c r="V17" i="4" s="1"/>
  <c r="J12" i="4"/>
  <c r="J9" i="4"/>
  <c r="H13" i="6" l="1"/>
  <c r="Y13" i="6" s="1"/>
  <c r="AC29" i="6" s="1"/>
  <c r="AE6" i="6"/>
  <c r="AN6" i="6" s="1"/>
  <c r="G6" i="6"/>
  <c r="AF9" i="5"/>
  <c r="G9" i="5"/>
  <c r="G10" i="5"/>
  <c r="AF10" i="5"/>
  <c r="G8" i="5"/>
  <c r="AF8" i="5"/>
  <c r="G6" i="5"/>
  <c r="AF6" i="5"/>
  <c r="H16" i="4"/>
  <c r="Y16" i="4" s="1"/>
  <c r="G11" i="4"/>
  <c r="V11" i="4" s="1"/>
  <c r="G9" i="4"/>
  <c r="V9" i="4" s="1"/>
  <c r="H19" i="4"/>
  <c r="Y19" i="4" s="1"/>
  <c r="G10" i="4"/>
  <c r="V10" i="4" s="1"/>
  <c r="G12" i="4"/>
  <c r="V12" i="4" s="1"/>
  <c r="G8" i="4"/>
  <c r="V8" i="4" s="1"/>
  <c r="H18" i="4"/>
  <c r="Y18" i="4" s="1"/>
  <c r="H17" i="4"/>
  <c r="Y17" i="4" s="1"/>
  <c r="H14" i="4"/>
  <c r="Y14" i="4" s="1"/>
  <c r="G6" i="4"/>
  <c r="V6" i="4" s="1"/>
  <c r="AH8" i="5" l="1"/>
  <c r="AU25" i="5" s="1"/>
  <c r="AE8" i="5"/>
  <c r="AV25" i="5" s="1"/>
  <c r="AH9" i="5"/>
  <c r="AU26" i="5" s="1"/>
  <c r="AE9" i="5"/>
  <c r="AV26" i="5" s="1"/>
  <c r="AH10" i="5"/>
  <c r="AU27" i="5" s="1"/>
  <c r="AE10" i="5"/>
  <c r="AV27" i="5" s="1"/>
  <c r="AH6" i="5"/>
  <c r="AU23" i="5" s="1"/>
  <c r="AE6" i="5"/>
  <c r="AV23" i="5" s="1"/>
  <c r="AM6" i="6"/>
  <c r="V6" i="6"/>
  <c r="H6" i="6"/>
  <c r="Y6" i="6" s="1"/>
  <c r="AC23" i="6" s="1"/>
  <c r="AQ9" i="5"/>
  <c r="AC26" i="5" s="1"/>
  <c r="AR9" i="5"/>
  <c r="AD26" i="5" s="1"/>
  <c r="V9" i="5"/>
  <c r="H9" i="5"/>
  <c r="Y9" i="5" s="1"/>
  <c r="AR10" i="5"/>
  <c r="AD27" i="5" s="1"/>
  <c r="AQ10" i="5"/>
  <c r="AC27" i="5" s="1"/>
  <c r="V10" i="5"/>
  <c r="H10" i="5"/>
  <c r="Y10" i="5" s="1"/>
  <c r="AQ8" i="5"/>
  <c r="AC25" i="5" s="1"/>
  <c r="AR8" i="5"/>
  <c r="AD25" i="5" s="1"/>
  <c r="H8" i="5"/>
  <c r="Y8" i="5" s="1"/>
  <c r="V8" i="5"/>
  <c r="H6" i="5"/>
  <c r="Y6" i="5" s="1"/>
  <c r="V6" i="5"/>
  <c r="AR6" i="5"/>
  <c r="AD23" i="5" s="1"/>
  <c r="AQ6" i="5"/>
  <c r="AC23" i="5" s="1"/>
  <c r="H11" i="4"/>
  <c r="AC11" i="4" s="1"/>
  <c r="H12" i="4"/>
  <c r="Y12" i="4" s="1"/>
  <c r="H6" i="4"/>
  <c r="Y6" i="4" s="1"/>
  <c r="H8" i="4"/>
  <c r="Y8" i="4" s="1"/>
  <c r="H9" i="4"/>
  <c r="Y9" i="4" s="1"/>
  <c r="H10" i="4"/>
  <c r="Y10" i="4" s="1"/>
  <c r="W5" i="5"/>
  <c r="V5" i="5"/>
  <c r="Y11" i="4" l="1"/>
  <c r="W17" i="5"/>
  <c r="Z15" i="5"/>
  <c r="Z10" i="5"/>
  <c r="Z7" i="5"/>
  <c r="Z9" i="5"/>
  <c r="Z16" i="5"/>
  <c r="Z6" i="5"/>
  <c r="AG5" i="5"/>
  <c r="AQ5" i="5"/>
  <c r="AC22" i="5" s="1"/>
  <c r="Z14" i="5"/>
  <c r="W14" i="5"/>
  <c r="W7" i="5"/>
  <c r="W10" i="5"/>
  <c r="H5" i="5"/>
  <c r="Z5" i="5"/>
  <c r="AR5" i="5" l="1"/>
  <c r="AD22" i="5" s="1"/>
  <c r="AU22" i="5"/>
  <c r="Y5" i="5"/>
  <c r="H5" i="6"/>
  <c r="Y5" i="6" s="1"/>
  <c r="AC22" i="6" s="1"/>
  <c r="Z17" i="5"/>
  <c r="W16" i="5"/>
  <c r="W6" i="5"/>
  <c r="W15" i="5"/>
  <c r="W9" i="5"/>
  <c r="Z13" i="5"/>
  <c r="W13" i="5"/>
  <c r="Z11" i="5"/>
  <c r="W11" i="5"/>
  <c r="W8" i="5"/>
  <c r="Z8" i="5"/>
  <c r="X5" i="5"/>
  <c r="AA5" i="5"/>
  <c r="X11" i="5"/>
  <c r="Q10" i="5"/>
  <c r="AA10" i="5" s="1"/>
  <c r="X10" i="5"/>
  <c r="X17" i="5"/>
  <c r="Q9" i="5"/>
  <c r="AA9" i="5" s="1"/>
  <c r="X9" i="5"/>
  <c r="Q17" i="5"/>
  <c r="AA17" i="5" s="1"/>
  <c r="X16" i="5"/>
  <c r="Q8" i="5"/>
  <c r="AA8" i="5" s="1"/>
  <c r="X8" i="5"/>
  <c r="Q16" i="5"/>
  <c r="AA16" i="5" s="1"/>
  <c r="X15" i="5"/>
  <c r="Q7" i="5"/>
  <c r="AA7" i="5" s="1"/>
  <c r="X7" i="5"/>
  <c r="Q14" i="5"/>
  <c r="AA14" i="5" s="1"/>
  <c r="X14" i="5"/>
  <c r="Q15" i="5"/>
  <c r="AA15" i="5" s="1"/>
  <c r="Q11" i="5"/>
  <c r="AA11" i="5" s="1"/>
  <c r="Q13" i="5"/>
  <c r="AA13" i="5" s="1"/>
  <c r="X13" i="5"/>
  <c r="AP6" i="5"/>
  <c r="R6" i="5"/>
  <c r="X6" i="5" s="1"/>
  <c r="AT6" i="5" l="1"/>
  <c r="AF23" i="5" s="1"/>
  <c r="AO6" i="5"/>
  <c r="AO23" i="5" s="1"/>
  <c r="Q6" i="5"/>
  <c r="AA6" i="5" s="1"/>
</calcChain>
</file>

<file path=xl/sharedStrings.xml><?xml version="1.0" encoding="utf-8"?>
<sst xmlns="http://schemas.openxmlformats.org/spreadsheetml/2006/main" count="271" uniqueCount="77">
  <si>
    <t>Left</t>
  </si>
  <si>
    <t>EOP</t>
  </si>
  <si>
    <t>Slope</t>
  </si>
  <si>
    <t>EOSH</t>
  </si>
  <si>
    <t>Width</t>
  </si>
  <si>
    <t>Diff</t>
  </si>
  <si>
    <t>Station</t>
  </si>
  <si>
    <t>BL Ramp D</t>
  </si>
  <si>
    <t xml:space="preserve">Width </t>
  </si>
  <si>
    <t>RIGHT</t>
  </si>
  <si>
    <t>PGL</t>
  </si>
  <si>
    <t>Comments</t>
  </si>
  <si>
    <t>MATCH EXISTING</t>
  </si>
  <si>
    <t>Offset</t>
  </si>
  <si>
    <t>Original Design Match</t>
  </si>
  <si>
    <t>Lane
Width</t>
  </si>
  <si>
    <t>TOE OF BARRIER OFFSET</t>
  </si>
  <si>
    <t>PAVEMENT TRANSITION TABLE</t>
  </si>
  <si>
    <t>CB XX' LT.</t>
  </si>
  <si>
    <t>N/A</t>
  </si>
  <si>
    <t>WALL BASE ELEV</t>
  </si>
  <si>
    <t>OFFSET TO FACE OF WALL (PV_EOP)</t>
  </si>
  <si>
    <t>WALL BASE OFFSET (PGL)</t>
  </si>
  <si>
    <t>P.C. RAMP D CURVE</t>
  </si>
  <si>
    <t>COMMENTS</t>
  </si>
  <si>
    <t>DIFF</t>
  </si>
  <si>
    <t>RIGHT SHOULDER</t>
  </si>
  <si>
    <t>BL RAMP D</t>
  </si>
  <si>
    <t>PROFILE GRADE</t>
  </si>
  <si>
    <t>WIDTH</t>
  </si>
  <si>
    <t>SLOPE</t>
  </si>
  <si>
    <t>EDGE ELEV</t>
  </si>
  <si>
    <t>LANE WIDTH</t>
  </si>
  <si>
    <t>SHOULDER ELEV</t>
  </si>
  <si>
    <t>STATION</t>
  </si>
  <si>
    <t>LEFT PAVEMENT AND SHOULDER</t>
  </si>
  <si>
    <t>s1</t>
  </si>
  <si>
    <t>s2</t>
  </si>
  <si>
    <t>s3</t>
  </si>
  <si>
    <t>p1</t>
  </si>
  <si>
    <t>p2</t>
  </si>
  <si>
    <t>p3</t>
  </si>
  <si>
    <t>CROWN
ELEV</t>
  </si>
  <si>
    <t>STA.</t>
  </si>
  <si>
    <t>EDGE
ELEV</t>
  </si>
  <si>
    <t>SHOULDER
ELEV</t>
  </si>
  <si>
    <t>SHOULDER TO EOP</t>
  </si>
  <si>
    <t>EOP TO CROWN</t>
  </si>
  <si>
    <t>CROWN TO BL</t>
  </si>
  <si>
    <t>BL TO
SHOULDER</t>
  </si>
  <si>
    <t>CROWN ELEV (ACT)</t>
  </si>
  <si>
    <t>SLOPE: SHLDR-EOP</t>
  </si>
  <si>
    <t>SLOPE: EOP TO CROWN</t>
  </si>
  <si>
    <t>SLOPE: CROWN TO BL</t>
  </si>
  <si>
    <t>SLOPE: BL TO SHLDR</t>
  </si>
  <si>
    <t>QUICK GLANCE</t>
  </si>
  <si>
    <t>SLOPE: EOP TO BL</t>
  </si>
  <si>
    <t>SHLDR</t>
  </si>
  <si>
    <t>CROWN</t>
  </si>
  <si>
    <t>BL</t>
  </si>
  <si>
    <t>BL-RS</t>
  </si>
  <si>
    <t>BL-CR</t>
  </si>
  <si>
    <t>CR-EOP</t>
  </si>
  <si>
    <t>EOP-LS</t>
  </si>
  <si>
    <t>LEFT SHOULDER</t>
  </si>
  <si>
    <t>LANE</t>
  </si>
  <si>
    <t>CROWN ELEV</t>
  </si>
  <si>
    <t>TOTAL WIDTH</t>
  </si>
  <si>
    <t>GRATE ELEV. VERIFICATION CALC:</t>
  </si>
  <si>
    <t>CB 19' LT.</t>
  </si>
  <si>
    <t>MH ELEV. VERIFICATION CALC:</t>
  </si>
  <si>
    <t>ELEV</t>
  </si>
  <si>
    <t>LEFT EDGE</t>
  </si>
  <si>
    <t>DIFF.</t>
  </si>
  <si>
    <t>OFFSET</t>
  </si>
  <si>
    <t>ELEV.</t>
  </si>
  <si>
    <t>RIGHT EDGE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</si>
</sst>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\+##.00"/>
    <numFmt numFmtId="165" formatCode="00\+00.00"/>
    <numFmt numFmtId="166" formatCode="0.0000"/>
    <numFmt numFmtId="167" formatCode="0.000"/>
  </numFmts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6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/>
    </xf>
    <xf numFmtId="164" fontId="5" fillId="0" borderId="23" xfId="0" applyNumberFormat="1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2" fontId="5" fillId="0" borderId="7" xfId="0" applyNumberFormat="1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165" fontId="6" fillId="0" borderId="6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2" fontId="5" fillId="2" borderId="0" xfId="0" applyNumberFormat="1" applyFont="1" applyFill="1" applyAlignment="1">
      <alignment horizontal="center" vertical="center"/>
    </xf>
    <xf numFmtId="2" fontId="6" fillId="0" borderId="18" xfId="0" applyNumberFormat="1" applyFont="1" applyBorder="1" applyAlignment="1">
      <alignment horizontal="center" vertical="center"/>
    </xf>
    <xf numFmtId="166" fontId="7" fillId="0" borderId="19" xfId="0" applyNumberFormat="1" applyFont="1" applyBorder="1" applyAlignment="1">
      <alignment horizontal="center" vertical="center"/>
    </xf>
    <xf numFmtId="2" fontId="7" fillId="0" borderId="19" xfId="0" applyNumberFormat="1" applyFont="1" applyBorder="1" applyAlignment="1">
      <alignment horizontal="center" vertical="center"/>
    </xf>
    <xf numFmtId="2" fontId="5" fillId="0" borderId="19" xfId="0" applyNumberFormat="1" applyFont="1" applyBorder="1" applyAlignment="1">
      <alignment horizontal="center" vertical="center"/>
    </xf>
    <xf numFmtId="166" fontId="5" fillId="0" borderId="4" xfId="0" applyNumberFormat="1" applyFont="1" applyBorder="1" applyAlignment="1">
      <alignment horizontal="center" vertical="center"/>
    </xf>
    <xf numFmtId="2" fontId="5" fillId="0" borderId="18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2" fontId="5" fillId="0" borderId="15" xfId="0" applyNumberFormat="1" applyFont="1" applyBorder="1" applyAlignment="1">
      <alignment horizontal="center" vertical="center"/>
    </xf>
    <xf numFmtId="2" fontId="6" fillId="0" borderId="14" xfId="0" applyNumberFormat="1" applyFont="1" applyBorder="1" applyAlignment="1">
      <alignment horizontal="center" vertical="center"/>
    </xf>
    <xf numFmtId="0" fontId="5" fillId="0" borderId="43" xfId="0" applyFont="1" applyBorder="1" applyAlignment="1">
      <alignment horizontal="left" vertical="center"/>
    </xf>
    <xf numFmtId="0" fontId="5" fillId="0" borderId="44" xfId="0" applyFont="1" applyBorder="1" applyAlignment="1">
      <alignment horizontal="left" vertical="center"/>
    </xf>
    <xf numFmtId="0" fontId="5" fillId="0" borderId="45" xfId="0" applyFont="1" applyBorder="1" applyAlignment="1">
      <alignment horizontal="left" vertical="center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6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2" fontId="7" fillId="0" borderId="46" xfId="0" applyNumberFormat="1" applyFont="1" applyBorder="1" applyAlignment="1">
      <alignment horizontal="center" vertical="center"/>
    </xf>
    <xf numFmtId="2" fontId="6" fillId="0" borderId="47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7" fontId="5" fillId="0" borderId="0" xfId="0" applyNumberFormat="1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64" fontId="9" fillId="0" borderId="9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164" fontId="9" fillId="0" borderId="11" xfId="0" applyNumberFormat="1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horizontal="left" vertical="center"/>
    </xf>
    <xf numFmtId="2" fontId="7" fillId="0" borderId="1" xfId="0" applyNumberFormat="1" applyFont="1" applyBorder="1" applyAlignment="1">
      <alignment horizontal="center" vertical="center"/>
    </xf>
    <xf numFmtId="2" fontId="9" fillId="0" borderId="12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2" fontId="9" fillId="0" borderId="7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0" fontId="9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166" fontId="7" fillId="0" borderId="2" xfId="0" applyNumberFormat="1" applyFont="1" applyBorder="1" applyAlignment="1">
      <alignment horizontal="center" vertical="center"/>
    </xf>
    <xf numFmtId="166" fontId="7" fillId="0" borderId="7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3" fillId="0" borderId="4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47" xfId="0" applyFont="1" applyBorder="1" applyAlignment="1">
      <alignment horizontal="left" vertical="center"/>
    </xf>
    <xf numFmtId="0" fontId="10" fillId="0" borderId="47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164" fontId="10" fillId="0" borderId="45" xfId="0" applyNumberFormat="1" applyFont="1" applyBorder="1" applyAlignment="1">
      <alignment horizontal="center" vertical="center"/>
    </xf>
    <xf numFmtId="164" fontId="10" fillId="0" borderId="43" xfId="0" applyNumberFormat="1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6" fillId="0" borderId="28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2" fontId="7" fillId="0" borderId="12" xfId="0" applyNumberFormat="1" applyFont="1" applyBorder="1" applyAlignment="1">
      <alignment horizontal="center" vertical="center"/>
    </xf>
    <xf numFmtId="2" fontId="7" fillId="0" borderId="52" xfId="0" applyNumberFormat="1" applyFont="1" applyBorder="1" applyAlignment="1">
      <alignment horizontal="center" vertical="center"/>
    </xf>
    <xf numFmtId="164" fontId="7" fillId="0" borderId="44" xfId="0" applyNumberFormat="1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8" xfId="0" applyFont="1" applyBorder="1" applyAlignment="1">
      <alignment horizontal="left" vertical="center"/>
    </xf>
    <xf numFmtId="0" fontId="9" fillId="0" borderId="36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 wrapText="1"/>
    </xf>
    <xf numFmtId="164" fontId="9" fillId="0" borderId="54" xfId="0" applyNumberFormat="1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 wrapText="1"/>
    </xf>
    <xf numFmtId="164" fontId="9" fillId="0" borderId="45" xfId="0" applyNumberFormat="1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8CFA1-BED9-41D9-8265-E031729DC010}">
  <sheetPr>
    <pageSetUpPr fitToPage="1"/>
  </sheetPr>
  <dimension ref="B1:M17"/>
  <sheetViews>
    <sheetView tabSelected="1" workbookViewId="0">
      <selection activeCell="B2" sqref="B2:M17"/>
    </sheetView>
  </sheetViews>
  <sheetFormatPr defaultRowHeight="15" x14ac:dyDescent="0.25"/>
  <cols>
    <col min="1" max="6" width="9.140625" style="2"/>
    <col min="7" max="7" width="10.7109375" style="3" customWidth="1"/>
    <col min="8" max="8" width="12.7109375" style="2" customWidth="1"/>
    <col min="9" max="12" width="9.140625" style="2"/>
    <col min="13" max="13" width="20.7109375" style="5" customWidth="1"/>
    <col min="14" max="16384" width="9.140625" style="2"/>
  </cols>
  <sheetData>
    <row r="1" spans="2:13" ht="15.75" thickBot="1" x14ac:dyDescent="0.3"/>
    <row r="2" spans="2:13" ht="30" customHeight="1" thickBot="1" x14ac:dyDescent="0.3">
      <c r="B2" s="166" t="s">
        <v>17</v>
      </c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8"/>
    </row>
    <row r="3" spans="2:13" ht="15" customHeight="1" x14ac:dyDescent="0.25">
      <c r="B3" s="225" t="s">
        <v>72</v>
      </c>
      <c r="C3" s="226"/>
      <c r="D3" s="226"/>
      <c r="E3" s="227"/>
      <c r="F3" s="228" t="s">
        <v>32</v>
      </c>
      <c r="G3" s="229" t="s">
        <v>34</v>
      </c>
      <c r="H3" s="230" t="s">
        <v>27</v>
      </c>
      <c r="I3" s="225" t="s">
        <v>76</v>
      </c>
      <c r="J3" s="226"/>
      <c r="K3" s="226"/>
      <c r="L3" s="227"/>
      <c r="M3" s="231" t="s">
        <v>24</v>
      </c>
    </row>
    <row r="4" spans="2:13" ht="30" customHeight="1" thickBot="1" x14ac:dyDescent="0.3">
      <c r="B4" s="148" t="s">
        <v>71</v>
      </c>
      <c r="C4" s="119" t="s">
        <v>73</v>
      </c>
      <c r="D4" s="119" t="s">
        <v>30</v>
      </c>
      <c r="E4" s="121" t="s">
        <v>74</v>
      </c>
      <c r="F4" s="232"/>
      <c r="G4" s="233"/>
      <c r="H4" s="234" t="s">
        <v>28</v>
      </c>
      <c r="I4" s="118" t="s">
        <v>74</v>
      </c>
      <c r="J4" s="119" t="s">
        <v>30</v>
      </c>
      <c r="K4" s="119" t="s">
        <v>73</v>
      </c>
      <c r="L4" s="139" t="s">
        <v>75</v>
      </c>
      <c r="M4" s="235"/>
    </row>
    <row r="5" spans="2:13" ht="15" customHeight="1" x14ac:dyDescent="0.25">
      <c r="B5" s="154"/>
      <c r="C5" s="155"/>
      <c r="D5" s="155"/>
      <c r="E5" s="156"/>
      <c r="F5" s="161"/>
      <c r="G5" s="165"/>
      <c r="H5" s="163"/>
      <c r="I5" s="154"/>
      <c r="J5" s="155"/>
      <c r="K5" s="155"/>
      <c r="L5" s="156"/>
      <c r="M5" s="157"/>
    </row>
    <row r="6" spans="2:13" ht="15" customHeight="1" x14ac:dyDescent="0.25">
      <c r="B6" s="147">
        <v>749.44</v>
      </c>
      <c r="C6" s="134">
        <f>L6-B6</f>
        <v>-0.12000000000000455</v>
      </c>
      <c r="D6" s="115">
        <f>ROUND(C6/F6,4)</f>
        <v>-8.0000000000000002E-3</v>
      </c>
      <c r="E6" s="220">
        <v>14.7</v>
      </c>
      <c r="F6" s="221">
        <f>E6+I6</f>
        <v>15</v>
      </c>
      <c r="G6" s="222">
        <v>2600</v>
      </c>
      <c r="H6" s="223">
        <v>749.32</v>
      </c>
      <c r="I6" s="147">
        <v>0.3</v>
      </c>
      <c r="J6" s="115">
        <f>-D6</f>
        <v>8.0000000000000002E-3</v>
      </c>
      <c r="K6" s="134">
        <f>ROUND($I6*$J6,2)</f>
        <v>0</v>
      </c>
      <c r="L6" s="220">
        <v>749.32</v>
      </c>
      <c r="M6" s="224" t="s">
        <v>12</v>
      </c>
    </row>
    <row r="7" spans="2:13" ht="15" customHeight="1" x14ac:dyDescent="0.25">
      <c r="B7" s="147">
        <f t="shared" ref="B7:B15" si="0">H7+C7</f>
        <v>750.21</v>
      </c>
      <c r="C7" s="134">
        <f t="shared" ref="C7:C15" si="1">ROUND(D7*E7,2)</f>
        <v>-0.11</v>
      </c>
      <c r="D7" s="115">
        <f t="shared" ref="D7:D15" si="2">$D$6+ROUND(($D$16-$D$6)/($G$16-$G$6)*($G7-$G$6),4)</f>
        <v>-7.3000000000000001E-3</v>
      </c>
      <c r="E7" s="220">
        <f>$E$6+ROUND(($E$16-$E$6)/($G$16-$G$6)*($G7-$G$6),2)</f>
        <v>14.62</v>
      </c>
      <c r="F7" s="221">
        <f t="shared" ref="F7:F15" si="3">$F$6+ROUND(($F$16-$F$6)/($G$16-$G$6)*($G7-$G$6),2)</f>
        <v>15.08</v>
      </c>
      <c r="G7" s="222">
        <f t="shared" ref="G7:G16" si="4">G6+25</f>
        <v>2625</v>
      </c>
      <c r="H7" s="223">
        <v>750.32</v>
      </c>
      <c r="I7" s="147">
        <f>$I$6+ROUND(($I$16-$I$6)/($G$16-$G$6)*($G7-$G$6),2)</f>
        <v>0.47</v>
      </c>
      <c r="J7" s="115">
        <f t="shared" ref="J7:J15" si="5">$J$6+ROUND(($J$16-$J$6)/($G$16-$G$6)*($G7-$G$6),4)</f>
        <v>7.3000000000000001E-3</v>
      </c>
      <c r="K7" s="134">
        <f t="shared" ref="K7:K15" si="6">ROUND($I7*$J7,2)</f>
        <v>0</v>
      </c>
      <c r="L7" s="220">
        <f>H7+K7</f>
        <v>750.32</v>
      </c>
      <c r="M7" s="224"/>
    </row>
    <row r="8" spans="2:13" ht="15" customHeight="1" x14ac:dyDescent="0.25">
      <c r="B8" s="147">
        <f t="shared" si="0"/>
        <v>751.23</v>
      </c>
      <c r="C8" s="134">
        <f t="shared" si="1"/>
        <v>-0.1</v>
      </c>
      <c r="D8" s="115">
        <f t="shared" si="2"/>
        <v>-6.7000000000000002E-3</v>
      </c>
      <c r="E8" s="220">
        <f t="shared" ref="E8:E15" si="7">$E$6+ROUND(($E$16-$E$6)/($G$16-$G$6)*($G8-$G$6),2)</f>
        <v>14.53</v>
      </c>
      <c r="F8" s="221">
        <f t="shared" si="3"/>
        <v>15.17</v>
      </c>
      <c r="G8" s="222">
        <f t="shared" si="4"/>
        <v>2650</v>
      </c>
      <c r="H8" s="223">
        <v>751.33</v>
      </c>
      <c r="I8" s="147">
        <f t="shared" ref="I8:I15" si="8">$I$6+ROUND(($I$16-$I$6)/($G$16-$G$6)*($G8-$G$6),2)</f>
        <v>0.64</v>
      </c>
      <c r="J8" s="115">
        <f t="shared" si="5"/>
        <v>6.7000000000000002E-3</v>
      </c>
      <c r="K8" s="134">
        <f t="shared" si="6"/>
        <v>0</v>
      </c>
      <c r="L8" s="220">
        <f t="shared" ref="L8:L15" si="9">H8+K8</f>
        <v>751.33</v>
      </c>
      <c r="M8" s="224"/>
    </row>
    <row r="9" spans="2:13" ht="15" customHeight="1" x14ac:dyDescent="0.25">
      <c r="B9" s="147">
        <f t="shared" si="0"/>
        <v>752.24</v>
      </c>
      <c r="C9" s="134">
        <f t="shared" si="1"/>
        <v>-0.09</v>
      </c>
      <c r="D9" s="115">
        <f t="shared" si="2"/>
        <v>-6.0000000000000001E-3</v>
      </c>
      <c r="E9" s="220">
        <f t="shared" si="7"/>
        <v>14.45</v>
      </c>
      <c r="F9" s="221">
        <f t="shared" si="3"/>
        <v>15.25</v>
      </c>
      <c r="G9" s="222">
        <f t="shared" si="4"/>
        <v>2675</v>
      </c>
      <c r="H9" s="223">
        <v>752.33</v>
      </c>
      <c r="I9" s="147">
        <f t="shared" si="8"/>
        <v>0.8</v>
      </c>
      <c r="J9" s="115">
        <f t="shared" si="5"/>
        <v>6.0000000000000001E-3</v>
      </c>
      <c r="K9" s="134">
        <f t="shared" si="6"/>
        <v>0</v>
      </c>
      <c r="L9" s="220">
        <f t="shared" si="9"/>
        <v>752.33</v>
      </c>
      <c r="M9" s="224"/>
    </row>
    <row r="10" spans="2:13" ht="15" customHeight="1" x14ac:dyDescent="0.25">
      <c r="B10" s="147">
        <f t="shared" si="0"/>
        <v>753.26</v>
      </c>
      <c r="C10" s="134">
        <f t="shared" si="1"/>
        <v>-0.08</v>
      </c>
      <c r="D10" s="115">
        <f t="shared" si="2"/>
        <v>-5.3E-3</v>
      </c>
      <c r="E10" s="220">
        <f t="shared" si="7"/>
        <v>14.36</v>
      </c>
      <c r="F10" s="221">
        <f t="shared" si="3"/>
        <v>15.34</v>
      </c>
      <c r="G10" s="222">
        <f t="shared" si="4"/>
        <v>2700</v>
      </c>
      <c r="H10" s="223">
        <v>753.34</v>
      </c>
      <c r="I10" s="147">
        <f t="shared" si="8"/>
        <v>0.97</v>
      </c>
      <c r="J10" s="115">
        <f t="shared" si="5"/>
        <v>5.3E-3</v>
      </c>
      <c r="K10" s="134">
        <f t="shared" si="6"/>
        <v>0.01</v>
      </c>
      <c r="L10" s="220">
        <f t="shared" si="9"/>
        <v>753.35</v>
      </c>
      <c r="M10" s="224"/>
    </row>
    <row r="11" spans="2:13" ht="15" customHeight="1" x14ac:dyDescent="0.25">
      <c r="B11" s="147">
        <f t="shared" si="0"/>
        <v>754.27</v>
      </c>
      <c r="C11" s="134">
        <f t="shared" si="1"/>
        <v>-7.0000000000000007E-2</v>
      </c>
      <c r="D11" s="115">
        <f t="shared" si="2"/>
        <v>-4.5999999999999999E-3</v>
      </c>
      <c r="E11" s="220">
        <f t="shared" si="7"/>
        <v>14.28</v>
      </c>
      <c r="F11" s="221">
        <f t="shared" si="3"/>
        <v>15.42</v>
      </c>
      <c r="G11" s="222">
        <f t="shared" si="4"/>
        <v>2725</v>
      </c>
      <c r="H11" s="223">
        <v>754.34</v>
      </c>
      <c r="I11" s="147">
        <f t="shared" si="8"/>
        <v>1.1399999999999999</v>
      </c>
      <c r="J11" s="115">
        <f t="shared" si="5"/>
        <v>4.5999999999999999E-3</v>
      </c>
      <c r="K11" s="134">
        <f t="shared" si="6"/>
        <v>0.01</v>
      </c>
      <c r="L11" s="220">
        <f t="shared" si="9"/>
        <v>754.35</v>
      </c>
      <c r="M11" s="224"/>
    </row>
    <row r="12" spans="2:13" ht="15" customHeight="1" x14ac:dyDescent="0.25">
      <c r="B12" s="147">
        <f t="shared" si="0"/>
        <v>755.29000000000008</v>
      </c>
      <c r="C12" s="134">
        <f t="shared" si="1"/>
        <v>-0.06</v>
      </c>
      <c r="D12" s="115">
        <f t="shared" si="2"/>
        <v>-4.0000000000000001E-3</v>
      </c>
      <c r="E12" s="220">
        <f t="shared" si="7"/>
        <v>14.2</v>
      </c>
      <c r="F12" s="221">
        <f t="shared" si="3"/>
        <v>15.5</v>
      </c>
      <c r="G12" s="222">
        <f t="shared" si="4"/>
        <v>2750</v>
      </c>
      <c r="H12" s="223">
        <v>755.35</v>
      </c>
      <c r="I12" s="147">
        <f t="shared" si="8"/>
        <v>1.31</v>
      </c>
      <c r="J12" s="115">
        <f t="shared" si="5"/>
        <v>4.0000000000000001E-3</v>
      </c>
      <c r="K12" s="134">
        <f t="shared" si="6"/>
        <v>0.01</v>
      </c>
      <c r="L12" s="220">
        <f t="shared" si="9"/>
        <v>755.36</v>
      </c>
      <c r="M12" s="224"/>
    </row>
    <row r="13" spans="2:13" ht="15" customHeight="1" x14ac:dyDescent="0.25">
      <c r="B13" s="147">
        <f t="shared" si="0"/>
        <v>756.30000000000007</v>
      </c>
      <c r="C13" s="134">
        <f t="shared" si="1"/>
        <v>-0.05</v>
      </c>
      <c r="D13" s="115">
        <f t="shared" si="2"/>
        <v>-3.3E-3</v>
      </c>
      <c r="E13" s="220">
        <f t="shared" si="7"/>
        <v>14.11</v>
      </c>
      <c r="F13" s="221">
        <f t="shared" si="3"/>
        <v>15.59</v>
      </c>
      <c r="G13" s="222">
        <f t="shared" si="4"/>
        <v>2775</v>
      </c>
      <c r="H13" s="223">
        <v>756.35</v>
      </c>
      <c r="I13" s="147">
        <f t="shared" si="8"/>
        <v>1.48</v>
      </c>
      <c r="J13" s="115">
        <f t="shared" si="5"/>
        <v>3.3E-3</v>
      </c>
      <c r="K13" s="134">
        <f t="shared" si="6"/>
        <v>0</v>
      </c>
      <c r="L13" s="220">
        <f t="shared" si="9"/>
        <v>756.35</v>
      </c>
      <c r="M13" s="224"/>
    </row>
    <row r="14" spans="2:13" ht="15" customHeight="1" x14ac:dyDescent="0.25">
      <c r="B14" s="147">
        <f t="shared" si="0"/>
        <v>757.32</v>
      </c>
      <c r="C14" s="134">
        <f t="shared" si="1"/>
        <v>-0.04</v>
      </c>
      <c r="D14" s="115">
        <f t="shared" si="2"/>
        <v>-2.5999999999999999E-3</v>
      </c>
      <c r="E14" s="220">
        <f t="shared" si="7"/>
        <v>14.03</v>
      </c>
      <c r="F14" s="221">
        <f t="shared" si="3"/>
        <v>15.67</v>
      </c>
      <c r="G14" s="222">
        <f t="shared" si="4"/>
        <v>2800</v>
      </c>
      <c r="H14" s="223">
        <v>757.36</v>
      </c>
      <c r="I14" s="147">
        <f t="shared" si="8"/>
        <v>1.6400000000000001</v>
      </c>
      <c r="J14" s="115">
        <f t="shared" si="5"/>
        <v>2.5999999999999999E-3</v>
      </c>
      <c r="K14" s="134">
        <f t="shared" si="6"/>
        <v>0</v>
      </c>
      <c r="L14" s="220">
        <f t="shared" si="9"/>
        <v>757.36</v>
      </c>
      <c r="M14" s="224"/>
    </row>
    <row r="15" spans="2:13" ht="15" customHeight="1" x14ac:dyDescent="0.25">
      <c r="B15" s="147">
        <f t="shared" si="0"/>
        <v>758.33</v>
      </c>
      <c r="C15" s="134">
        <f t="shared" si="1"/>
        <v>-0.03</v>
      </c>
      <c r="D15" s="115">
        <f t="shared" si="2"/>
        <v>-2E-3</v>
      </c>
      <c r="E15" s="220">
        <f t="shared" si="7"/>
        <v>13.94</v>
      </c>
      <c r="F15" s="221">
        <f t="shared" si="3"/>
        <v>15.76</v>
      </c>
      <c r="G15" s="222">
        <f t="shared" si="4"/>
        <v>2825</v>
      </c>
      <c r="H15" s="223">
        <v>758.36</v>
      </c>
      <c r="I15" s="147">
        <f t="shared" si="8"/>
        <v>1.81</v>
      </c>
      <c r="J15" s="115">
        <f t="shared" si="5"/>
        <v>2E-3</v>
      </c>
      <c r="K15" s="134">
        <f t="shared" si="6"/>
        <v>0</v>
      </c>
      <c r="L15" s="220">
        <f t="shared" si="9"/>
        <v>758.36</v>
      </c>
      <c r="M15" s="224"/>
    </row>
    <row r="16" spans="2:13" ht="15" customHeight="1" x14ac:dyDescent="0.25">
      <c r="B16" s="147">
        <v>759.32</v>
      </c>
      <c r="C16" s="134">
        <f>L16-B16</f>
        <v>-2.0000000000095497E-2</v>
      </c>
      <c r="D16" s="115">
        <f>ROUND(C16/F16,4)</f>
        <v>-1.2999999999999999E-3</v>
      </c>
      <c r="E16" s="220">
        <v>13.86</v>
      </c>
      <c r="F16" s="221">
        <f>E16+I16</f>
        <v>15.84</v>
      </c>
      <c r="G16" s="222">
        <f t="shared" si="4"/>
        <v>2850</v>
      </c>
      <c r="H16" s="223">
        <v>759.37</v>
      </c>
      <c r="I16" s="147">
        <v>1.98</v>
      </c>
      <c r="J16" s="115">
        <f>-D16</f>
        <v>1.2999999999999999E-3</v>
      </c>
      <c r="K16" s="134">
        <f>ROUND($I16*$J16,2)</f>
        <v>0</v>
      </c>
      <c r="L16" s="220">
        <v>759.3</v>
      </c>
      <c r="M16" s="224" t="s">
        <v>12</v>
      </c>
    </row>
    <row r="17" spans="2:13" ht="15" customHeight="1" thickBot="1" x14ac:dyDescent="0.3">
      <c r="B17" s="152"/>
      <c r="C17" s="158"/>
      <c r="D17" s="158"/>
      <c r="E17" s="153"/>
      <c r="F17" s="162"/>
      <c r="G17" s="164"/>
      <c r="H17" s="160"/>
      <c r="I17" s="152"/>
      <c r="J17" s="158"/>
      <c r="K17" s="158"/>
      <c r="L17" s="153"/>
      <c r="M17" s="159"/>
    </row>
  </sheetData>
  <mergeCells count="6">
    <mergeCell ref="B2:M2"/>
    <mergeCell ref="G3:G4"/>
    <mergeCell ref="B3:E3"/>
    <mergeCell ref="I3:L3"/>
    <mergeCell ref="M3:M4"/>
    <mergeCell ref="F3:F4"/>
  </mergeCells>
  <pageMargins left="0.7" right="0.7" top="0.75" bottom="0.75" header="0.3" footer="0.3"/>
  <pageSetup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D7BDE-5BFF-4473-888A-9F5081EBD698}">
  <dimension ref="B2:U17"/>
  <sheetViews>
    <sheetView workbookViewId="0">
      <selection sqref="A1:XFD1048576"/>
    </sheetView>
  </sheetViews>
  <sheetFormatPr defaultRowHeight="15" customHeight="1" x14ac:dyDescent="0.25"/>
  <cols>
    <col min="1" max="8" width="9.140625" style="2"/>
    <col min="9" max="9" width="11.140625" style="2" bestFit="1" customWidth="1"/>
    <col min="10" max="10" width="9.140625" style="2"/>
    <col min="11" max="11" width="9.140625" style="3"/>
    <col min="12" max="20" width="9.140625" style="2"/>
    <col min="21" max="21" width="16" style="5" bestFit="1" customWidth="1"/>
    <col min="22" max="16384" width="9.140625" style="2"/>
  </cols>
  <sheetData>
    <row r="2" spans="2:21" ht="15" customHeight="1" thickBot="1" x14ac:dyDescent="0.3"/>
    <row r="3" spans="2:21" ht="15" customHeight="1" x14ac:dyDescent="0.25">
      <c r="B3" s="171" t="s">
        <v>0</v>
      </c>
      <c r="C3" s="170"/>
      <c r="D3" s="170"/>
      <c r="E3" s="170"/>
      <c r="F3" s="170"/>
      <c r="G3" s="170"/>
      <c r="H3" s="170"/>
      <c r="I3" s="170"/>
      <c r="J3" s="172"/>
      <c r="K3" s="173" t="s">
        <v>6</v>
      </c>
      <c r="L3" s="30" t="s">
        <v>7</v>
      </c>
      <c r="M3" s="169" t="s">
        <v>9</v>
      </c>
      <c r="N3" s="170"/>
      <c r="O3" s="170"/>
      <c r="P3" s="170"/>
      <c r="Q3" s="170"/>
      <c r="R3" s="170"/>
      <c r="S3" s="170"/>
      <c r="T3" s="170"/>
      <c r="U3" s="13"/>
    </row>
    <row r="4" spans="2:21" ht="30" customHeight="1" thickBot="1" x14ac:dyDescent="0.3">
      <c r="B4" s="14" t="s">
        <v>3</v>
      </c>
      <c r="C4" s="15" t="s">
        <v>5</v>
      </c>
      <c r="D4" s="15" t="s">
        <v>2</v>
      </c>
      <c r="E4" s="15" t="s">
        <v>4</v>
      </c>
      <c r="F4" s="15" t="s">
        <v>1</v>
      </c>
      <c r="G4" s="15" t="s">
        <v>5</v>
      </c>
      <c r="H4" s="15" t="s">
        <v>2</v>
      </c>
      <c r="I4" s="40" t="s">
        <v>15</v>
      </c>
      <c r="J4" s="24" t="s">
        <v>13</v>
      </c>
      <c r="K4" s="174"/>
      <c r="L4" s="32" t="s">
        <v>10</v>
      </c>
      <c r="M4" s="27" t="s">
        <v>13</v>
      </c>
      <c r="N4" s="15" t="s">
        <v>2</v>
      </c>
      <c r="O4" s="15" t="s">
        <v>5</v>
      </c>
      <c r="P4" s="15" t="s">
        <v>1</v>
      </c>
      <c r="Q4" s="15" t="s">
        <v>8</v>
      </c>
      <c r="R4" s="15" t="s">
        <v>2</v>
      </c>
      <c r="S4" s="15" t="s">
        <v>5</v>
      </c>
      <c r="T4" s="15" t="s">
        <v>3</v>
      </c>
      <c r="U4" s="16" t="s">
        <v>11</v>
      </c>
    </row>
    <row r="5" spans="2:21" ht="15" customHeight="1" x14ac:dyDescent="0.25">
      <c r="B5" s="17"/>
      <c r="C5" s="11"/>
      <c r="D5" s="11"/>
      <c r="E5" s="11"/>
      <c r="F5" s="12">
        <v>748.4</v>
      </c>
      <c r="G5" s="11">
        <f>P5-F5</f>
        <v>-0.11000000000001364</v>
      </c>
      <c r="H5" s="11">
        <f>ROUND(G5/I5,4)</f>
        <v>-7.4000000000000003E-3</v>
      </c>
      <c r="I5" s="11">
        <f>J5+M5</f>
        <v>14.95</v>
      </c>
      <c r="J5" s="25">
        <v>14.84</v>
      </c>
      <c r="K5" s="33">
        <v>2575</v>
      </c>
      <c r="L5" s="34">
        <v>748.29</v>
      </c>
      <c r="M5" s="28">
        <v>0.11</v>
      </c>
      <c r="N5" s="11"/>
      <c r="O5" s="11"/>
      <c r="P5" s="12">
        <v>748.29</v>
      </c>
      <c r="Q5" s="11"/>
      <c r="R5" s="11"/>
      <c r="S5" s="11"/>
      <c r="T5" s="11"/>
      <c r="U5" s="18"/>
    </row>
    <row r="6" spans="2:21" ht="15" customHeight="1" x14ac:dyDescent="0.25">
      <c r="B6" s="19"/>
      <c r="C6" s="10"/>
      <c r="D6" s="10"/>
      <c r="E6" s="10"/>
      <c r="F6" s="9">
        <v>749.44</v>
      </c>
      <c r="G6" s="10">
        <f>P6-F6</f>
        <v>-0.12000000000000455</v>
      </c>
      <c r="H6" s="10">
        <f>ROUND(G6/I6,4)</f>
        <v>-8.0000000000000002E-3</v>
      </c>
      <c r="I6" s="10">
        <f>J6+M6</f>
        <v>15</v>
      </c>
      <c r="J6" s="26">
        <v>14.7</v>
      </c>
      <c r="K6" s="35">
        <f t="shared" ref="K6:K17" si="0">K5+25</f>
        <v>2600</v>
      </c>
      <c r="L6" s="36">
        <v>749.32</v>
      </c>
      <c r="M6" s="29">
        <v>0.3</v>
      </c>
      <c r="N6" s="10">
        <f>-H6</f>
        <v>8.0000000000000002E-3</v>
      </c>
      <c r="O6" s="39">
        <f>ROUND($M6*$N6,2)</f>
        <v>0</v>
      </c>
      <c r="P6" s="9">
        <v>749.32</v>
      </c>
      <c r="Q6" s="10"/>
      <c r="R6" s="10"/>
      <c r="S6" s="10"/>
      <c r="T6" s="10"/>
      <c r="U6" s="20" t="s">
        <v>12</v>
      </c>
    </row>
    <row r="7" spans="2:21" ht="15" customHeight="1" x14ac:dyDescent="0.25">
      <c r="B7" s="19"/>
      <c r="C7" s="10"/>
      <c r="D7" s="10"/>
      <c r="E7" s="10"/>
      <c r="F7" s="10"/>
      <c r="G7" s="10">
        <f>ROUND(H7*J7,2)</f>
        <v>-0.11</v>
      </c>
      <c r="H7" s="38">
        <f t="shared" ref="H7:H14" si="1">$H$6+ROUND(($H$16-$H$6)/($K$16-$K$6)*($K7-$K$6),4)</f>
        <v>-7.3000000000000001E-3</v>
      </c>
      <c r="I7" s="38">
        <f t="shared" ref="I7:I14" si="2">$I$6+ROUND(($I$16-$I$6)/($K$16-$K$6)*($K7-$K$6),2)</f>
        <v>15.08</v>
      </c>
      <c r="J7" s="38">
        <f>$J$6+ROUND(($J$16-$J$6)/($K$16-$K$6)*($K7-$K$6),2)</f>
        <v>14.62</v>
      </c>
      <c r="K7" s="35">
        <f t="shared" si="0"/>
        <v>2625</v>
      </c>
      <c r="L7" s="37"/>
      <c r="M7" s="38">
        <f>$M$6+ROUND(($M$16-$M$6)/($K$16-$K$6)*($K7-$K$6),2)</f>
        <v>0.47</v>
      </c>
      <c r="N7" s="38">
        <f>$N$6+ROUND(($N$16-$N$6)/($K$16-$K$6)*($K7-$K$6),4)</f>
        <v>7.3000000000000001E-3</v>
      </c>
      <c r="O7" s="39">
        <f t="shared" ref="O7:O15" si="3">ROUND($M7*$N7,2)</f>
        <v>0</v>
      </c>
      <c r="P7" s="10"/>
      <c r="Q7" s="10"/>
      <c r="R7" s="10"/>
      <c r="S7" s="10"/>
      <c r="T7" s="10"/>
      <c r="U7" s="20"/>
    </row>
    <row r="8" spans="2:21" ht="15" customHeight="1" x14ac:dyDescent="0.25">
      <c r="B8" s="19"/>
      <c r="C8" s="10"/>
      <c r="D8" s="10"/>
      <c r="E8" s="10"/>
      <c r="F8" s="10"/>
      <c r="G8" s="10">
        <f t="shared" ref="G8:G15" si="4">ROUND(H8*J8,2)</f>
        <v>-0.1</v>
      </c>
      <c r="H8" s="38">
        <f t="shared" si="1"/>
        <v>-6.7000000000000002E-3</v>
      </c>
      <c r="I8" s="38">
        <f t="shared" si="2"/>
        <v>15.17</v>
      </c>
      <c r="J8" s="38">
        <f t="shared" ref="J8:J15" si="5">$J$6+ROUND(($J$16-$J$6)/($K$16-$K$6)*($K8-$K$6),2)</f>
        <v>14.53</v>
      </c>
      <c r="K8" s="35">
        <f t="shared" si="0"/>
        <v>2650</v>
      </c>
      <c r="L8" s="37"/>
      <c r="M8" s="38">
        <f t="shared" ref="M8:M15" si="6">$M$6+ROUND(($M$16-$M$6)/($K$16-$K$6)*($K8-$K$6),2)</f>
        <v>0.64</v>
      </c>
      <c r="N8" s="38">
        <f t="shared" ref="N8:N15" si="7">$N$6+ROUND(($N$16-$N$6)/($K$16-$K$6)*($K8-$K$6),4)</f>
        <v>6.7000000000000002E-3</v>
      </c>
      <c r="O8" s="39">
        <f t="shared" si="3"/>
        <v>0</v>
      </c>
      <c r="P8" s="10"/>
      <c r="Q8" s="10"/>
      <c r="R8" s="10"/>
      <c r="S8" s="10"/>
      <c r="T8" s="10"/>
      <c r="U8" s="20"/>
    </row>
    <row r="9" spans="2:21" ht="15" customHeight="1" x14ac:dyDescent="0.25">
      <c r="B9" s="19"/>
      <c r="C9" s="10"/>
      <c r="D9" s="10"/>
      <c r="E9" s="10"/>
      <c r="F9" s="10"/>
      <c r="G9" s="10">
        <f t="shared" si="4"/>
        <v>-0.09</v>
      </c>
      <c r="H9" s="38">
        <f t="shared" si="1"/>
        <v>-6.0000000000000001E-3</v>
      </c>
      <c r="I9" s="38">
        <f t="shared" si="2"/>
        <v>15.25</v>
      </c>
      <c r="J9" s="38">
        <f t="shared" si="5"/>
        <v>14.45</v>
      </c>
      <c r="K9" s="35">
        <f t="shared" si="0"/>
        <v>2675</v>
      </c>
      <c r="L9" s="37"/>
      <c r="M9" s="38">
        <f t="shared" si="6"/>
        <v>0.8</v>
      </c>
      <c r="N9" s="38">
        <f t="shared" si="7"/>
        <v>6.0000000000000001E-3</v>
      </c>
      <c r="O9" s="39">
        <f t="shared" si="3"/>
        <v>0</v>
      </c>
      <c r="P9" s="10"/>
      <c r="Q9" s="10"/>
      <c r="R9" s="10"/>
      <c r="S9" s="10"/>
      <c r="T9" s="10"/>
      <c r="U9" s="20"/>
    </row>
    <row r="10" spans="2:21" ht="15" customHeight="1" x14ac:dyDescent="0.25">
      <c r="B10" s="19"/>
      <c r="C10" s="10"/>
      <c r="D10" s="10"/>
      <c r="E10" s="10"/>
      <c r="F10" s="10"/>
      <c r="G10" s="10">
        <f t="shared" si="4"/>
        <v>-0.08</v>
      </c>
      <c r="H10" s="38">
        <f t="shared" si="1"/>
        <v>-5.3E-3</v>
      </c>
      <c r="I10" s="38">
        <f t="shared" si="2"/>
        <v>15.34</v>
      </c>
      <c r="J10" s="38">
        <f t="shared" si="5"/>
        <v>14.36</v>
      </c>
      <c r="K10" s="35">
        <f t="shared" si="0"/>
        <v>2700</v>
      </c>
      <c r="L10" s="37"/>
      <c r="M10" s="38">
        <f t="shared" si="6"/>
        <v>0.97</v>
      </c>
      <c r="N10" s="38">
        <f t="shared" si="7"/>
        <v>5.3E-3</v>
      </c>
      <c r="O10" s="39">
        <f t="shared" si="3"/>
        <v>0.01</v>
      </c>
      <c r="P10" s="10"/>
      <c r="Q10" s="10"/>
      <c r="R10" s="10"/>
      <c r="S10" s="10"/>
      <c r="T10" s="10"/>
      <c r="U10" s="20"/>
    </row>
    <row r="11" spans="2:21" ht="15" customHeight="1" x14ac:dyDescent="0.25">
      <c r="B11" s="19"/>
      <c r="C11" s="10"/>
      <c r="D11" s="10"/>
      <c r="E11" s="10"/>
      <c r="F11" s="10"/>
      <c r="G11" s="10">
        <f t="shared" si="4"/>
        <v>-7.0000000000000007E-2</v>
      </c>
      <c r="H11" s="38">
        <f t="shared" si="1"/>
        <v>-4.5999999999999999E-3</v>
      </c>
      <c r="I11" s="38">
        <f t="shared" si="2"/>
        <v>15.42</v>
      </c>
      <c r="J11" s="38">
        <f t="shared" si="5"/>
        <v>14.28</v>
      </c>
      <c r="K11" s="35">
        <f t="shared" si="0"/>
        <v>2725</v>
      </c>
      <c r="L11" s="37"/>
      <c r="M11" s="38">
        <f t="shared" si="6"/>
        <v>1.1399999999999999</v>
      </c>
      <c r="N11" s="38">
        <f t="shared" si="7"/>
        <v>4.5999999999999999E-3</v>
      </c>
      <c r="O11" s="39">
        <f t="shared" si="3"/>
        <v>0.01</v>
      </c>
      <c r="P11" s="10"/>
      <c r="Q11" s="10"/>
      <c r="R11" s="10"/>
      <c r="S11" s="10"/>
      <c r="T11" s="10"/>
      <c r="U11" s="20"/>
    </row>
    <row r="12" spans="2:21" ht="15" customHeight="1" x14ac:dyDescent="0.25">
      <c r="B12" s="19"/>
      <c r="C12" s="10"/>
      <c r="D12" s="10"/>
      <c r="E12" s="10"/>
      <c r="F12" s="10"/>
      <c r="G12" s="10">
        <f t="shared" si="4"/>
        <v>-0.06</v>
      </c>
      <c r="H12" s="38">
        <f t="shared" si="1"/>
        <v>-4.0000000000000001E-3</v>
      </c>
      <c r="I12" s="38">
        <f t="shared" si="2"/>
        <v>15.5</v>
      </c>
      <c r="J12" s="38">
        <f t="shared" si="5"/>
        <v>14.2</v>
      </c>
      <c r="K12" s="35">
        <f t="shared" si="0"/>
        <v>2750</v>
      </c>
      <c r="L12" s="37"/>
      <c r="M12" s="38">
        <f t="shared" si="6"/>
        <v>1.31</v>
      </c>
      <c r="N12" s="38">
        <f t="shared" si="7"/>
        <v>4.0000000000000001E-3</v>
      </c>
      <c r="O12" s="39">
        <f t="shared" si="3"/>
        <v>0.01</v>
      </c>
      <c r="P12" s="10"/>
      <c r="Q12" s="10"/>
      <c r="R12" s="10"/>
      <c r="S12" s="10"/>
      <c r="T12" s="10"/>
      <c r="U12" s="20"/>
    </row>
    <row r="13" spans="2:21" ht="15" customHeight="1" x14ac:dyDescent="0.25">
      <c r="B13" s="19"/>
      <c r="C13" s="10"/>
      <c r="D13" s="10"/>
      <c r="E13" s="10"/>
      <c r="F13" s="10"/>
      <c r="G13" s="10">
        <f t="shared" si="4"/>
        <v>-0.05</v>
      </c>
      <c r="H13" s="38">
        <f t="shared" si="1"/>
        <v>-3.3E-3</v>
      </c>
      <c r="I13" s="38">
        <f t="shared" si="2"/>
        <v>15.59</v>
      </c>
      <c r="J13" s="38">
        <f t="shared" si="5"/>
        <v>14.11</v>
      </c>
      <c r="K13" s="35">
        <f t="shared" si="0"/>
        <v>2775</v>
      </c>
      <c r="L13" s="37"/>
      <c r="M13" s="38">
        <f t="shared" si="6"/>
        <v>1.48</v>
      </c>
      <c r="N13" s="38">
        <f t="shared" si="7"/>
        <v>3.3E-3</v>
      </c>
      <c r="O13" s="39">
        <f t="shared" si="3"/>
        <v>0</v>
      </c>
      <c r="P13" s="10"/>
      <c r="Q13" s="10"/>
      <c r="R13" s="10"/>
      <c r="S13" s="10"/>
      <c r="T13" s="10"/>
      <c r="U13" s="20"/>
    </row>
    <row r="14" spans="2:21" ht="15" customHeight="1" x14ac:dyDescent="0.25">
      <c r="B14" s="19"/>
      <c r="C14" s="10"/>
      <c r="D14" s="10"/>
      <c r="E14" s="10"/>
      <c r="F14" s="10"/>
      <c r="G14" s="10">
        <f t="shared" si="4"/>
        <v>-0.04</v>
      </c>
      <c r="H14" s="38">
        <f t="shared" si="1"/>
        <v>-2.5999999999999999E-3</v>
      </c>
      <c r="I14" s="38">
        <f t="shared" si="2"/>
        <v>15.67</v>
      </c>
      <c r="J14" s="38">
        <f t="shared" si="5"/>
        <v>14.03</v>
      </c>
      <c r="K14" s="35">
        <f t="shared" si="0"/>
        <v>2800</v>
      </c>
      <c r="L14" s="37"/>
      <c r="M14" s="38">
        <f t="shared" si="6"/>
        <v>1.6400000000000001</v>
      </c>
      <c r="N14" s="38">
        <f t="shared" si="7"/>
        <v>2.5999999999999999E-3</v>
      </c>
      <c r="O14" s="39">
        <f t="shared" si="3"/>
        <v>0</v>
      </c>
      <c r="P14" s="10"/>
      <c r="Q14" s="10"/>
      <c r="R14" s="10"/>
      <c r="S14" s="10"/>
      <c r="T14" s="10"/>
      <c r="U14" s="20"/>
    </row>
    <row r="15" spans="2:21" ht="15" customHeight="1" x14ac:dyDescent="0.25">
      <c r="B15" s="19"/>
      <c r="C15" s="10"/>
      <c r="D15" s="10"/>
      <c r="E15" s="10"/>
      <c r="F15" s="10"/>
      <c r="G15" s="10">
        <f t="shared" si="4"/>
        <v>-0.03</v>
      </c>
      <c r="H15" s="38">
        <f>$H$6+ROUND(($H$16-$H$6)/($K$16-$K$6)*($K15-$K$6),4)</f>
        <v>-2E-3</v>
      </c>
      <c r="I15" s="38">
        <f>$I$6+ROUND(($I$16-$I$6)/($K$16-$K$6)*($K15-$K$6),2)</f>
        <v>15.76</v>
      </c>
      <c r="J15" s="38">
        <f t="shared" si="5"/>
        <v>13.94</v>
      </c>
      <c r="K15" s="35">
        <f t="shared" si="0"/>
        <v>2825</v>
      </c>
      <c r="L15" s="37"/>
      <c r="M15" s="38">
        <f t="shared" si="6"/>
        <v>1.81</v>
      </c>
      <c r="N15" s="38">
        <f t="shared" si="7"/>
        <v>2E-3</v>
      </c>
      <c r="O15" s="39">
        <f t="shared" si="3"/>
        <v>0</v>
      </c>
      <c r="P15" s="10"/>
      <c r="Q15" s="10"/>
      <c r="R15" s="10"/>
      <c r="S15" s="10"/>
      <c r="T15" s="10"/>
      <c r="U15" s="20"/>
    </row>
    <row r="16" spans="2:21" ht="15" customHeight="1" x14ac:dyDescent="0.25">
      <c r="B16" s="19">
        <v>759.36</v>
      </c>
      <c r="C16" s="10">
        <f>F16-B16</f>
        <v>-3.999999999996362E-2</v>
      </c>
      <c r="D16" s="10">
        <f>C16/E16</f>
        <v>-1.6666666666651495E-2</v>
      </c>
      <c r="E16" s="10">
        <f>16.26-J16</f>
        <v>2.4000000000000021</v>
      </c>
      <c r="F16" s="9">
        <v>759.32</v>
      </c>
      <c r="G16" s="10">
        <f>P16-F16</f>
        <v>-2.0000000000095497E-2</v>
      </c>
      <c r="H16" s="10">
        <f>ROUND(G16/I16,4)</f>
        <v>-1.2999999999999999E-3</v>
      </c>
      <c r="I16" s="10">
        <f>J16+M16</f>
        <v>15.84</v>
      </c>
      <c r="J16" s="26">
        <v>13.86</v>
      </c>
      <c r="K16" s="35">
        <f t="shared" si="0"/>
        <v>2850</v>
      </c>
      <c r="L16" s="36">
        <v>759.38</v>
      </c>
      <c r="M16" s="29">
        <v>1.98</v>
      </c>
      <c r="N16" s="10">
        <f>-H16</f>
        <v>1.2999999999999999E-3</v>
      </c>
      <c r="O16" s="39">
        <f>ROUND($M16*$N16,2)</f>
        <v>0</v>
      </c>
      <c r="P16" s="9">
        <v>759.3</v>
      </c>
      <c r="Q16" s="9">
        <f>9.36-1.98</f>
        <v>7.379999999999999</v>
      </c>
      <c r="R16" s="10">
        <f>ROUND(S16/Q16,4)</f>
        <v>-4.07E-2</v>
      </c>
      <c r="S16" s="10">
        <f>T16-P16</f>
        <v>-0.29999999999995453</v>
      </c>
      <c r="T16" s="9">
        <v>759</v>
      </c>
      <c r="U16" s="20" t="s">
        <v>12</v>
      </c>
    </row>
    <row r="17" spans="2:21" ht="15" customHeight="1" thickBot="1" x14ac:dyDescent="0.3">
      <c r="B17" s="21">
        <v>762.08</v>
      </c>
      <c r="C17" s="22">
        <f>B17-F17</f>
        <v>1.7200000000000273</v>
      </c>
      <c r="D17" s="22">
        <f>C17/E17</f>
        <v>0.47910863509750068</v>
      </c>
      <c r="E17" s="22">
        <f>17.48-J17</f>
        <v>3.59</v>
      </c>
      <c r="F17" s="15">
        <v>760.36</v>
      </c>
      <c r="G17" s="22">
        <f>P17-F17</f>
        <v>6.9999999999936335E-2</v>
      </c>
      <c r="H17" s="22">
        <f>ROUND(G17/I17,4)</f>
        <v>4.4000000000000003E-3</v>
      </c>
      <c r="I17" s="22">
        <f>J17+M17</f>
        <v>15.82</v>
      </c>
      <c r="J17" s="24">
        <v>13.89</v>
      </c>
      <c r="K17" s="31">
        <f t="shared" si="0"/>
        <v>2875</v>
      </c>
      <c r="L17" s="32">
        <v>760.48</v>
      </c>
      <c r="M17" s="27">
        <v>1.93</v>
      </c>
      <c r="N17" s="22">
        <f>ROUND(O17/M17,4)</f>
        <v>-2.5899999999999999E-2</v>
      </c>
      <c r="O17" s="22">
        <f t="shared" ref="O17" si="8">P17-L17</f>
        <v>-5.0000000000068212E-2</v>
      </c>
      <c r="P17" s="15">
        <v>760.43</v>
      </c>
      <c r="Q17" s="15">
        <f>9.23-1.93</f>
        <v>7.3000000000000007</v>
      </c>
      <c r="R17" s="22">
        <f>ROUND(S17/Q17,4)</f>
        <v>-3.56E-2</v>
      </c>
      <c r="S17" s="22">
        <f>T17-P17</f>
        <v>-0.25999999999999091</v>
      </c>
      <c r="T17" s="15">
        <v>760.17</v>
      </c>
      <c r="U17" s="23"/>
    </row>
  </sheetData>
  <mergeCells count="3">
    <mergeCell ref="M3:T3"/>
    <mergeCell ref="B3:J3"/>
    <mergeCell ref="K3:K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50AB9-739C-49DD-87A2-D96878AF28D4}">
  <dimension ref="B1:AC20"/>
  <sheetViews>
    <sheetView topLeftCell="B1" workbookViewId="0">
      <selection activeCell="F2" sqref="F2:T20"/>
    </sheetView>
  </sheetViews>
  <sheetFormatPr defaultRowHeight="15" customHeight="1" x14ac:dyDescent="0.25"/>
  <cols>
    <col min="1" max="5" width="9.140625" style="41"/>
    <col min="6" max="6" width="10.7109375" style="41" customWidth="1"/>
    <col min="7" max="11" width="9.140625" style="41"/>
    <col min="12" max="12" width="11" style="41" bestFit="1" customWidth="1"/>
    <col min="13" max="13" width="11.140625" style="41" bestFit="1" customWidth="1"/>
    <col min="14" max="14" width="9.140625" style="42"/>
    <col min="15" max="15" width="10.7109375" style="41" customWidth="1"/>
    <col min="16" max="19" width="9.140625" style="41"/>
    <col min="20" max="20" width="20.7109375" style="43" customWidth="1"/>
    <col min="21" max="27" width="9.140625" style="41" hidden="1" customWidth="1"/>
    <col min="28" max="28" width="25.85546875" style="41" customWidth="1"/>
    <col min="29" max="16384" width="9.140625" style="41"/>
  </cols>
  <sheetData>
    <row r="1" spans="2:29" ht="15" customHeight="1" thickBot="1" x14ac:dyDescent="0.3"/>
    <row r="2" spans="2:29" ht="24.95" customHeight="1" thickBot="1" x14ac:dyDescent="0.3">
      <c r="F2" s="166" t="s">
        <v>17</v>
      </c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8"/>
    </row>
    <row r="3" spans="2:29" ht="12.95" customHeight="1" x14ac:dyDescent="0.25">
      <c r="B3" s="180" t="s">
        <v>21</v>
      </c>
      <c r="C3" s="180" t="s">
        <v>16</v>
      </c>
      <c r="D3" s="180" t="s">
        <v>20</v>
      </c>
      <c r="E3" s="181" t="s">
        <v>22</v>
      </c>
      <c r="F3" s="175" t="s">
        <v>35</v>
      </c>
      <c r="G3" s="176"/>
      <c r="H3" s="176"/>
      <c r="I3" s="176"/>
      <c r="J3" s="176"/>
      <c r="K3" s="176"/>
      <c r="L3" s="176"/>
      <c r="M3" s="176"/>
      <c r="N3" s="177" t="s">
        <v>34</v>
      </c>
      <c r="O3" s="117" t="s">
        <v>27</v>
      </c>
      <c r="P3" s="179" t="s">
        <v>26</v>
      </c>
      <c r="Q3" s="176"/>
      <c r="R3" s="176"/>
      <c r="S3" s="176"/>
      <c r="T3" s="182" t="s">
        <v>24</v>
      </c>
    </row>
    <row r="4" spans="2:29" ht="24.95" customHeight="1" thickBot="1" x14ac:dyDescent="0.3">
      <c r="B4" s="180"/>
      <c r="C4" s="180"/>
      <c r="D4" s="180"/>
      <c r="E4" s="181"/>
      <c r="F4" s="118" t="s">
        <v>33</v>
      </c>
      <c r="G4" s="119" t="s">
        <v>25</v>
      </c>
      <c r="H4" s="119" t="s">
        <v>30</v>
      </c>
      <c r="I4" s="142" t="s">
        <v>29</v>
      </c>
      <c r="J4" s="118" t="s">
        <v>31</v>
      </c>
      <c r="K4" s="119" t="s">
        <v>25</v>
      </c>
      <c r="L4" s="119" t="s">
        <v>30</v>
      </c>
      <c r="M4" s="120" t="s">
        <v>32</v>
      </c>
      <c r="N4" s="178"/>
      <c r="O4" s="121" t="s">
        <v>28</v>
      </c>
      <c r="P4" s="122" t="s">
        <v>29</v>
      </c>
      <c r="Q4" s="119" t="s">
        <v>30</v>
      </c>
      <c r="R4" s="119" t="s">
        <v>25</v>
      </c>
      <c r="S4" s="120" t="s">
        <v>31</v>
      </c>
      <c r="T4" s="183"/>
      <c r="V4" s="41" t="s">
        <v>39</v>
      </c>
      <c r="W4" s="41" t="s">
        <v>40</v>
      </c>
      <c r="X4" s="41" t="s">
        <v>41</v>
      </c>
      <c r="Y4" s="41" t="s">
        <v>36</v>
      </c>
      <c r="Z4" s="41" t="s">
        <v>37</v>
      </c>
      <c r="AA4" s="41" t="s">
        <v>38</v>
      </c>
    </row>
    <row r="5" spans="2:29" ht="12.95" customHeight="1" thickBot="1" x14ac:dyDescent="0.3">
      <c r="B5" s="41" t="s">
        <v>19</v>
      </c>
      <c r="C5" s="41" t="s">
        <v>19</v>
      </c>
      <c r="D5" s="41">
        <v>749.39499999999998</v>
      </c>
      <c r="E5" s="41">
        <v>21.8</v>
      </c>
      <c r="F5" s="123">
        <f>IF(D5="","",ROUND(D5,2))</f>
        <v>749.4</v>
      </c>
      <c r="G5" s="58">
        <f>F5-J5</f>
        <v>-4.0000000000077307E-2</v>
      </c>
      <c r="H5" s="124">
        <f>ROUND(G5/I5,4)</f>
        <v>-5.5999999999999999E-3</v>
      </c>
      <c r="I5" s="143">
        <f>IF(E5="","",ROUND(E5,2)-M5)</f>
        <v>7.1000000000000014</v>
      </c>
      <c r="J5" s="145">
        <v>749.44</v>
      </c>
      <c r="K5" s="124">
        <f>J5-O5</f>
        <v>0.12000000000000455</v>
      </c>
      <c r="L5" s="150">
        <f>ROUND(K5/M5,4)</f>
        <v>8.2000000000000007E-3</v>
      </c>
      <c r="M5" s="125">
        <v>14.7</v>
      </c>
      <c r="N5" s="126">
        <v>2600</v>
      </c>
      <c r="O5" s="127">
        <v>749.32</v>
      </c>
      <c r="P5" s="67">
        <v>8</v>
      </c>
      <c r="Q5" s="128">
        <f>ROUND(R5/P5,4)</f>
        <v>-6.1999999999999998E-3</v>
      </c>
      <c r="R5" s="149">
        <f>O5-S5</f>
        <v>-4.9999999999954525E-2</v>
      </c>
      <c r="S5" s="149">
        <v>749.37</v>
      </c>
      <c r="T5" s="130" t="s">
        <v>12</v>
      </c>
      <c r="U5" s="70">
        <f>N5</f>
        <v>2600</v>
      </c>
      <c r="V5" s="71" t="str">
        <f t="shared" ref="V5:V12" si="0">_xlfn.CONCAT(I5,", ",ROUND(G5,2))</f>
        <v>7.1, -0.04</v>
      </c>
      <c r="W5" s="71" t="str">
        <f>_xlfn.CONCAT(M5,", ",ROUND(K5,2))</f>
        <v>14.7, 0.12</v>
      </c>
      <c r="X5" s="71" t="str">
        <f>_xlfn.CONCAT(P5,", ",ROUND(R5,2))</f>
        <v>8, -0.05</v>
      </c>
      <c r="Y5" s="71">
        <f>H5</f>
        <v>-5.5999999999999999E-3</v>
      </c>
      <c r="Z5" s="71">
        <f>L5</f>
        <v>8.2000000000000007E-3</v>
      </c>
      <c r="AA5" s="71">
        <f>Q5</f>
        <v>-6.1999999999999998E-3</v>
      </c>
    </row>
    <row r="6" spans="2:29" ht="12.95" customHeight="1" thickBot="1" x14ac:dyDescent="0.3">
      <c r="B6" s="41" t="s">
        <v>19</v>
      </c>
      <c r="C6" s="41" t="s">
        <v>19</v>
      </c>
      <c r="D6" s="41">
        <v>750.49800000000005</v>
      </c>
      <c r="E6" s="41">
        <v>22.027000000000001</v>
      </c>
      <c r="F6" s="123">
        <f t="shared" ref="F6:F20" si="1">IF(D6="","",ROUND(D6,2))</f>
        <v>750.5</v>
      </c>
      <c r="G6" s="58">
        <f>F6-J6</f>
        <v>7.999999999992724E-2</v>
      </c>
      <c r="H6" s="58">
        <f>ROUND(G6/I6,4)</f>
        <v>1.0800000000000001E-2</v>
      </c>
      <c r="I6" s="143">
        <f>IF(E6="","",ROUND(E6,2)-M6)</f>
        <v>7.4300000000000015</v>
      </c>
      <c r="J6" s="146">
        <f>O6+K6</f>
        <v>750.42000000000007</v>
      </c>
      <c r="K6" s="58">
        <f>ROUND(L6*M6,2)</f>
        <v>0.1</v>
      </c>
      <c r="L6" s="115">
        <f>$L$5+ROUND(($L$20-$L$5)/($N$20-$N$5)*($N6-$N$5),4)</f>
        <v>7.000000000000001E-3</v>
      </c>
      <c r="M6" s="67">
        <f>$M$5+ROUND(($M$20-$M$5)/($N$20-$N$5)*($N6-$N$5),1)</f>
        <v>14.6</v>
      </c>
      <c r="N6" s="131">
        <f t="shared" ref="N6:N20" si="2">N5+25</f>
        <v>2625</v>
      </c>
      <c r="O6" s="132">
        <v>750.32</v>
      </c>
      <c r="P6" s="67">
        <f>$P$5+ROUND(($P$20-$P$5)/($N$20-$N$5)*($N6-$N$5),2)</f>
        <v>8.18</v>
      </c>
      <c r="Q6" s="58">
        <f>$Q$5+ROUND(($Q$8-$Q$5)/($N$8-$N$5)*($N6-$N$5),4)</f>
        <v>-2.3099999999999999E-2</v>
      </c>
      <c r="R6" s="124">
        <f t="shared" ref="R6:R19" si="3">ROUND(P6*Q6,2)</f>
        <v>-0.19</v>
      </c>
      <c r="S6" s="129">
        <f t="shared" ref="S6:S19" si="4">O6+R6</f>
        <v>750.13</v>
      </c>
      <c r="T6" s="133"/>
      <c r="U6" s="70">
        <f t="shared" ref="U6:U20" si="5">N6</f>
        <v>2625</v>
      </c>
      <c r="V6" s="71" t="str">
        <f t="shared" si="0"/>
        <v>7.43, 0.08</v>
      </c>
      <c r="W6" s="71" t="str">
        <f>_xlfn.CONCAT(M6,", ",ROUND(K6,2))</f>
        <v>14.6, 0.1</v>
      </c>
      <c r="X6" s="71" t="str">
        <f t="shared" ref="X6:X20" si="6">_xlfn.CONCAT(P6,", ",ROUND(R6,2))</f>
        <v>8.18, -0.19</v>
      </c>
      <c r="Y6" s="71">
        <f t="shared" ref="Y6:Y20" si="7">H6</f>
        <v>1.0800000000000001E-2</v>
      </c>
      <c r="Z6" s="71">
        <f>L6</f>
        <v>7.000000000000001E-3</v>
      </c>
      <c r="AA6" s="71">
        <f>Q6</f>
        <v>-2.3099999999999999E-2</v>
      </c>
    </row>
    <row r="7" spans="2:29" ht="12.95" hidden="1" customHeight="1" thickBot="1" x14ac:dyDescent="0.3">
      <c r="F7" s="123" t="str">
        <f t="shared" si="1"/>
        <v/>
      </c>
      <c r="G7" s="58"/>
      <c r="H7" s="58"/>
      <c r="I7" s="143" t="str">
        <f t="shared" ref="I7:I20" si="8">IF(E7="","",ROUND(E7,2)-M7)</f>
        <v/>
      </c>
      <c r="J7" s="146"/>
      <c r="K7" s="58"/>
      <c r="L7" s="115"/>
      <c r="M7" s="67">
        <f>$M$5+ROUND(($M$20-$M$5)/($N$20-$N$5)*($N7-$N$5),1)</f>
        <v>14.6</v>
      </c>
      <c r="N7" s="131">
        <v>2645</v>
      </c>
      <c r="O7" s="132"/>
      <c r="P7" s="67"/>
      <c r="Q7" s="128"/>
      <c r="R7" s="124"/>
      <c r="S7" s="129"/>
      <c r="T7" s="133"/>
      <c r="U7" s="70"/>
      <c r="V7" s="71" t="str">
        <f t="shared" si="0"/>
        <v>, 0</v>
      </c>
      <c r="W7" s="71"/>
      <c r="X7" s="71"/>
      <c r="Y7" s="71">
        <f t="shared" si="7"/>
        <v>0</v>
      </c>
      <c r="Z7" s="71"/>
      <c r="AA7" s="71"/>
    </row>
    <row r="8" spans="2:29" ht="12.95" customHeight="1" thickBot="1" x14ac:dyDescent="0.3">
      <c r="B8" s="41" t="s">
        <v>19</v>
      </c>
      <c r="C8" s="41" t="s">
        <v>19</v>
      </c>
      <c r="D8" s="41">
        <v>751.70600000000002</v>
      </c>
      <c r="E8" s="41">
        <v>23.713999999999999</v>
      </c>
      <c r="F8" s="123">
        <f t="shared" si="1"/>
        <v>751.71</v>
      </c>
      <c r="G8" s="58">
        <f>F8-J8</f>
        <v>0.29999999999995453</v>
      </c>
      <c r="H8" s="58">
        <f t="shared" ref="H8:H20" si="9">ROUND(G8/I8,4)</f>
        <v>3.2599999999999997E-2</v>
      </c>
      <c r="I8" s="143">
        <f>IF(E8="","",ROUND(E8,2)-M8)</f>
        <v>9.2100000000000009</v>
      </c>
      <c r="J8" s="146">
        <f>O8+K8</f>
        <v>751.41000000000008</v>
      </c>
      <c r="K8" s="58">
        <f t="shared" ref="K8:K19" si="10">ROUND(L8*M8,2)</f>
        <v>0.08</v>
      </c>
      <c r="L8" s="115">
        <f>$L$5+ROUND(($L$20-$L$5)/($N$20-$N$5)*($N8-$N$5),4)</f>
        <v>5.8000000000000013E-3</v>
      </c>
      <c r="M8" s="67">
        <f t="shared" ref="M8:M11" si="11">$M$5+ROUND(($M$20-$M$5)/($N$20-$N$5)*($N8-$N$5),1)</f>
        <v>14.5</v>
      </c>
      <c r="N8" s="131">
        <f>N6+25</f>
        <v>2650</v>
      </c>
      <c r="O8" s="132">
        <v>751.33</v>
      </c>
      <c r="P8" s="67">
        <f>$P$5+ROUND(($P$20-$P$5)/($N$20-$N$5)*($N8-$N$5),2)</f>
        <v>8.36</v>
      </c>
      <c r="Q8" s="128">
        <v>-0.04</v>
      </c>
      <c r="R8" s="124">
        <f t="shared" si="3"/>
        <v>-0.33</v>
      </c>
      <c r="S8" s="129">
        <f t="shared" si="4"/>
        <v>751</v>
      </c>
      <c r="T8" s="133"/>
      <c r="U8" s="70">
        <f t="shared" si="5"/>
        <v>2650</v>
      </c>
      <c r="V8" s="71" t="str">
        <f t="shared" si="0"/>
        <v>9.21, 0.3</v>
      </c>
      <c r="W8" s="71" t="str">
        <f>_xlfn.CONCAT(M8,", ",ROUND(K8,2))</f>
        <v>14.5, 0.08</v>
      </c>
      <c r="X8" s="71" t="str">
        <f t="shared" si="6"/>
        <v>8.36, -0.33</v>
      </c>
      <c r="Y8" s="71">
        <f t="shared" si="7"/>
        <v>3.2599999999999997E-2</v>
      </c>
      <c r="Z8" s="71">
        <f>L8</f>
        <v>5.8000000000000013E-3</v>
      </c>
      <c r="AA8" s="71">
        <f>Q8</f>
        <v>-0.04</v>
      </c>
    </row>
    <row r="9" spans="2:29" ht="12.95" customHeight="1" thickBot="1" x14ac:dyDescent="0.3">
      <c r="B9" s="41">
        <v>7.89</v>
      </c>
      <c r="C9" s="41">
        <v>2</v>
      </c>
      <c r="D9" s="41">
        <v>752.51199999999994</v>
      </c>
      <c r="E9" s="41">
        <v>22.763999999999999</v>
      </c>
      <c r="F9" s="123">
        <f t="shared" si="1"/>
        <v>752.51</v>
      </c>
      <c r="G9" s="58">
        <f>F9-J9</f>
        <v>0.10999999999989996</v>
      </c>
      <c r="H9" s="58">
        <f t="shared" si="9"/>
        <v>1.3299999999999999E-2</v>
      </c>
      <c r="I9" s="143">
        <f>IF(E9="","",ROUND(E9,2)-M9)</f>
        <v>8.2600000000000016</v>
      </c>
      <c r="J9" s="146">
        <f>O9+K9</f>
        <v>752.40000000000009</v>
      </c>
      <c r="K9" s="58">
        <f t="shared" si="10"/>
        <v>7.0000000000000007E-2</v>
      </c>
      <c r="L9" s="115">
        <f>$L$5+ROUND(($L$20-$L$5)/($N$20-$N$5)*($N9-$N$5),4)</f>
        <v>4.7000000000000011E-3</v>
      </c>
      <c r="M9" s="67">
        <f t="shared" si="11"/>
        <v>14.5</v>
      </c>
      <c r="N9" s="131">
        <f t="shared" si="2"/>
        <v>2675</v>
      </c>
      <c r="O9" s="132">
        <v>752.33</v>
      </c>
      <c r="P9" s="67">
        <f>$P$5+ROUND(($P$20-$P$5)/($N$20-$N$5)*($N9-$N$5),2)</f>
        <v>8.5399999999999991</v>
      </c>
      <c r="Q9" s="128">
        <v>-0.04</v>
      </c>
      <c r="R9" s="124">
        <f t="shared" si="3"/>
        <v>-0.34</v>
      </c>
      <c r="S9" s="129">
        <f t="shared" si="4"/>
        <v>751.99</v>
      </c>
      <c r="T9" s="133"/>
      <c r="U9" s="70">
        <f t="shared" si="5"/>
        <v>2675</v>
      </c>
      <c r="V9" s="71" t="str">
        <f t="shared" si="0"/>
        <v>8.26, 0.11</v>
      </c>
      <c r="W9" s="71" t="str">
        <f>_xlfn.CONCAT(M9,", ",ROUND(K9,2))</f>
        <v>14.5, 0.07</v>
      </c>
      <c r="X9" s="71" t="str">
        <f t="shared" si="6"/>
        <v>8.54, -0.34</v>
      </c>
      <c r="Y9" s="71">
        <f t="shared" si="7"/>
        <v>1.3299999999999999E-2</v>
      </c>
      <c r="Z9" s="71">
        <f>L9</f>
        <v>4.7000000000000011E-3</v>
      </c>
      <c r="AA9" s="71">
        <f>Q9</f>
        <v>-0.04</v>
      </c>
    </row>
    <row r="10" spans="2:29" ht="12.95" customHeight="1" thickBot="1" x14ac:dyDescent="0.3">
      <c r="B10" s="41">
        <v>7.1319999999999997</v>
      </c>
      <c r="C10" s="41">
        <v>2</v>
      </c>
      <c r="D10" s="41">
        <v>753.28499999999997</v>
      </c>
      <c r="E10" s="41">
        <v>21.818000000000001</v>
      </c>
      <c r="F10" s="123">
        <f t="shared" si="1"/>
        <v>753.29</v>
      </c>
      <c r="G10" s="58">
        <f>F10-J10</f>
        <v>-0.10000000000002274</v>
      </c>
      <c r="H10" s="58">
        <f t="shared" si="9"/>
        <v>-1.35E-2</v>
      </c>
      <c r="I10" s="143">
        <f t="shared" si="8"/>
        <v>7.4200000000000017</v>
      </c>
      <c r="J10" s="146">
        <f>O10+K10</f>
        <v>753.39</v>
      </c>
      <c r="K10" s="58">
        <f t="shared" si="10"/>
        <v>0.05</v>
      </c>
      <c r="L10" s="115">
        <f>$L$5+ROUND(($L$20-$L$5)/($N$20-$N$5)*($N10-$N$5),4)</f>
        <v>3.5000000000000005E-3</v>
      </c>
      <c r="M10" s="67">
        <f>$M$5+ROUND(($M$20-$M$5)/($N$20-$N$5)*($N10-$N$5),1)</f>
        <v>14.399999999999999</v>
      </c>
      <c r="N10" s="131">
        <f t="shared" si="2"/>
        <v>2700</v>
      </c>
      <c r="O10" s="132">
        <v>753.34</v>
      </c>
      <c r="P10" s="67">
        <f>$P$5+ROUND(($P$20-$P$5)/($N$20-$N$5)*($N10-$N$5),2)</f>
        <v>8.7200000000000006</v>
      </c>
      <c r="Q10" s="128">
        <v>-0.04</v>
      </c>
      <c r="R10" s="124">
        <f t="shared" si="3"/>
        <v>-0.35</v>
      </c>
      <c r="S10" s="129">
        <f t="shared" si="4"/>
        <v>752.99</v>
      </c>
      <c r="T10" s="133"/>
      <c r="U10" s="70">
        <f t="shared" si="5"/>
        <v>2700</v>
      </c>
      <c r="V10" s="71" t="str">
        <f t="shared" si="0"/>
        <v>7.42, -0.1</v>
      </c>
      <c r="W10" s="71" t="str">
        <f>_xlfn.CONCAT(M10,", ",ROUND(K10,2))</f>
        <v>14.4, 0.05</v>
      </c>
      <c r="X10" s="71" t="str">
        <f t="shared" si="6"/>
        <v>8.72, -0.35</v>
      </c>
      <c r="Y10" s="71">
        <f t="shared" si="7"/>
        <v>-1.35E-2</v>
      </c>
      <c r="Z10" s="71">
        <f>L10</f>
        <v>3.5000000000000005E-3</v>
      </c>
      <c r="AA10" s="71">
        <f>Q10</f>
        <v>-0.04</v>
      </c>
    </row>
    <row r="11" spans="2:29" ht="12.95" hidden="1" customHeight="1" thickBot="1" x14ac:dyDescent="0.3">
      <c r="B11" s="41">
        <v>6.5339999999999998</v>
      </c>
      <c r="C11" s="41">
        <v>2</v>
      </c>
      <c r="D11" s="41">
        <v>753.851</v>
      </c>
      <c r="E11" s="41">
        <v>21.02</v>
      </c>
      <c r="F11" s="123">
        <f t="shared" si="1"/>
        <v>753.85</v>
      </c>
      <c r="G11" s="58">
        <f>F11-J11</f>
        <v>-0.28999999999996362</v>
      </c>
      <c r="H11" s="58">
        <f t="shared" si="9"/>
        <v>-4.3200000000000002E-2</v>
      </c>
      <c r="I11" s="143">
        <f>IF(E11="","",ROUND(E11,2)-M11)</f>
        <v>6.7200000000000006</v>
      </c>
      <c r="J11" s="146">
        <f>O11+K11</f>
        <v>754.14</v>
      </c>
      <c r="K11" s="58">
        <f>ROUND(L11*M11,2)</f>
        <v>0.04</v>
      </c>
      <c r="L11" s="115">
        <f>$L$5+ROUND(($L$20-$L$5)/($N$20-$N$5)*($N11-$N$5),4)</f>
        <v>2.6000000000000007E-3</v>
      </c>
      <c r="M11" s="67">
        <f t="shared" si="11"/>
        <v>14.299999999999999</v>
      </c>
      <c r="N11" s="131">
        <v>2719</v>
      </c>
      <c r="O11" s="132">
        <v>754.1</v>
      </c>
      <c r="P11" s="67">
        <f>$P$5+ROUND(($P$20-$P$5)/($N$20-$N$5)*($N11-$N$5),2)</f>
        <v>8.86</v>
      </c>
      <c r="Q11" s="128">
        <v>-0.04</v>
      </c>
      <c r="R11" s="124">
        <f t="shared" si="3"/>
        <v>-0.35</v>
      </c>
      <c r="S11" s="129">
        <f t="shared" si="4"/>
        <v>753.75</v>
      </c>
      <c r="T11" s="133" t="s">
        <v>69</v>
      </c>
      <c r="U11" s="70">
        <f t="shared" si="5"/>
        <v>2719</v>
      </c>
      <c r="V11" s="71" t="str">
        <f t="shared" si="0"/>
        <v>6.72, -0.29</v>
      </c>
      <c r="W11" s="71" t="str">
        <f>_xlfn.CONCAT(M11,", ",ROUND(K11,2))</f>
        <v>14.3, 0.04</v>
      </c>
      <c r="X11" s="71" t="str">
        <f t="shared" si="6"/>
        <v>8.86, -0.35</v>
      </c>
      <c r="Y11" s="71">
        <f t="shared" si="7"/>
        <v>-4.3200000000000002E-2</v>
      </c>
      <c r="Z11" s="71">
        <f>L11</f>
        <v>2.6000000000000007E-3</v>
      </c>
      <c r="AA11" s="71">
        <f>Q11</f>
        <v>-0.04</v>
      </c>
      <c r="AB11" s="41" t="s">
        <v>68</v>
      </c>
      <c r="AC11" s="116">
        <f>O11-M11*L11+(I11-2.02)*H11</f>
        <v>753.85978</v>
      </c>
    </row>
    <row r="12" spans="2:29" ht="12.95" customHeight="1" thickBot="1" x14ac:dyDescent="0.3">
      <c r="B12" s="41">
        <v>6.2960000000000003</v>
      </c>
      <c r="C12" s="41">
        <v>2</v>
      </c>
      <c r="D12" s="41">
        <v>754.04399999999998</v>
      </c>
      <c r="E12" s="41">
        <v>20.858000000000001</v>
      </c>
      <c r="F12" s="123">
        <f t="shared" si="1"/>
        <v>754.04</v>
      </c>
      <c r="G12" s="58">
        <f>F12-J12</f>
        <v>-0.33000000000004093</v>
      </c>
      <c r="H12" s="58">
        <f t="shared" si="9"/>
        <v>-5.0299999999999997E-2</v>
      </c>
      <c r="I12" s="143">
        <f t="shared" si="8"/>
        <v>6.5600000000000005</v>
      </c>
      <c r="J12" s="146">
        <f>O12+K12</f>
        <v>754.37</v>
      </c>
      <c r="K12" s="58">
        <f t="shared" si="10"/>
        <v>0.03</v>
      </c>
      <c r="L12" s="115">
        <f>$L$5+ROUND(($L$20-$L$5)/($N$20-$N$5)*($N12-$N$5),4)</f>
        <v>2.3000000000000008E-3</v>
      </c>
      <c r="M12" s="67">
        <f>$M$5+ROUND(($M$20-$M$5)/($N$20-$N$5)*($N12-$N$5),1)</f>
        <v>14.299999999999999</v>
      </c>
      <c r="N12" s="131">
        <f>N10+25</f>
        <v>2725</v>
      </c>
      <c r="O12" s="132">
        <v>754.34</v>
      </c>
      <c r="P12" s="67">
        <f>$P$5+ROUND(($P$20-$P$5)/($N$20-$N$5)*($N12-$N$5),2)</f>
        <v>8.9</v>
      </c>
      <c r="Q12" s="128">
        <v>-0.04</v>
      </c>
      <c r="R12" s="124">
        <f t="shared" si="3"/>
        <v>-0.36</v>
      </c>
      <c r="S12" s="129">
        <f t="shared" si="4"/>
        <v>753.98</v>
      </c>
      <c r="T12" s="133"/>
      <c r="U12" s="70">
        <f t="shared" si="5"/>
        <v>2725</v>
      </c>
      <c r="V12" s="71" t="str">
        <f t="shared" si="0"/>
        <v>6.56, -0.33</v>
      </c>
      <c r="W12" s="71" t="str">
        <f>_xlfn.CONCAT(M12,", ",ROUND(K12,2))</f>
        <v>14.3, 0.03</v>
      </c>
      <c r="X12" s="71" t="str">
        <f t="shared" si="6"/>
        <v>8.9, -0.36</v>
      </c>
      <c r="Y12" s="71">
        <f t="shared" si="7"/>
        <v>-5.0299999999999997E-2</v>
      </c>
      <c r="Z12" s="71">
        <f>L12</f>
        <v>2.3000000000000008E-3</v>
      </c>
      <c r="AA12" s="71">
        <f>Q12</f>
        <v>-0.04</v>
      </c>
    </row>
    <row r="13" spans="2:29" ht="12.95" customHeight="1" thickBot="1" x14ac:dyDescent="0.3">
      <c r="F13" s="123" t="str">
        <f t="shared" si="1"/>
        <v/>
      </c>
      <c r="G13" s="58"/>
      <c r="H13" s="58"/>
      <c r="I13" s="143" t="str">
        <f>IF(E13="","",ROUND(E13,2)-M13)</f>
        <v/>
      </c>
      <c r="J13" s="146"/>
      <c r="K13" s="58"/>
      <c r="L13" s="115"/>
      <c r="M13" s="67"/>
      <c r="N13" s="131">
        <v>2749.21</v>
      </c>
      <c r="O13" s="132"/>
      <c r="P13" s="67"/>
      <c r="Q13" s="58"/>
      <c r="R13" s="124"/>
      <c r="S13" s="129"/>
      <c r="T13" s="133" t="s">
        <v>23</v>
      </c>
      <c r="U13" s="70"/>
      <c r="V13" s="71"/>
      <c r="W13" s="71"/>
      <c r="X13" s="71"/>
      <c r="Y13" s="71"/>
      <c r="Z13" s="71"/>
      <c r="AA13" s="71"/>
    </row>
    <row r="14" spans="2:29" ht="12.95" customHeight="1" thickBot="1" x14ac:dyDescent="0.3">
      <c r="B14" s="41">
        <v>5.5129999999999999</v>
      </c>
      <c r="C14" s="41">
        <v>2</v>
      </c>
      <c r="D14" s="41">
        <v>755.01400000000001</v>
      </c>
      <c r="E14" s="41">
        <v>19.89</v>
      </c>
      <c r="F14" s="123">
        <f t="shared" si="1"/>
        <v>755.01</v>
      </c>
      <c r="G14" s="58">
        <f t="shared" ref="G14:G20" si="12">F14-J14</f>
        <v>-0.36000000000001364</v>
      </c>
      <c r="H14" s="58">
        <f t="shared" si="9"/>
        <v>-6.3299999999999995E-2</v>
      </c>
      <c r="I14" s="143">
        <f t="shared" si="8"/>
        <v>5.6900000000000013</v>
      </c>
      <c r="J14" s="146">
        <f t="shared" ref="J14:J19" si="13">O14+K14</f>
        <v>755.37</v>
      </c>
      <c r="K14" s="58">
        <f t="shared" si="10"/>
        <v>0.02</v>
      </c>
      <c r="L14" s="115">
        <f t="shared" ref="L14:L19" si="14">$L$5+ROUND(($L$20-$L$5)/($N$20-$N$5)*($N14-$N$5),4)</f>
        <v>1.1000000000000003E-3</v>
      </c>
      <c r="M14" s="67">
        <f>$M$5+ROUND(($M$20-$M$5)/($N$20-$N$5)*($N14-$N$5),1)</f>
        <v>14.2</v>
      </c>
      <c r="N14" s="131">
        <f>N12+25</f>
        <v>2750</v>
      </c>
      <c r="O14" s="132">
        <v>755.35</v>
      </c>
      <c r="P14" s="67">
        <f t="shared" ref="P14:P19" si="15">$P$5+ROUND(($P$20-$P$5)/($N$20-$N$5)*($N14-$N$5),2)</f>
        <v>9.08</v>
      </c>
      <c r="Q14" s="128">
        <v>-0.04</v>
      </c>
      <c r="R14" s="124">
        <f t="shared" si="3"/>
        <v>-0.36</v>
      </c>
      <c r="S14" s="129">
        <f t="shared" si="4"/>
        <v>754.99</v>
      </c>
      <c r="T14" s="133"/>
      <c r="U14" s="70">
        <f t="shared" si="5"/>
        <v>2750</v>
      </c>
      <c r="V14" s="71" t="str">
        <f t="shared" ref="V14:V20" si="16">_xlfn.CONCAT(I14,", ",ROUND(G14,2))</f>
        <v>5.69, -0.36</v>
      </c>
      <c r="W14" s="71" t="str">
        <f t="shared" ref="W14:W20" si="17">_xlfn.CONCAT(M14,", ",ROUND(K14,2))</f>
        <v>14.2, 0.02</v>
      </c>
      <c r="X14" s="71" t="str">
        <f t="shared" si="6"/>
        <v>9.08, -0.36</v>
      </c>
      <c r="Y14" s="71">
        <f>H14</f>
        <v>-6.3299999999999995E-2</v>
      </c>
      <c r="Z14" s="71">
        <f t="shared" ref="Z14:Z20" si="18">L14</f>
        <v>1.1000000000000003E-3</v>
      </c>
      <c r="AA14" s="71">
        <f t="shared" ref="AA14:AA20" si="19">Q14</f>
        <v>-0.04</v>
      </c>
    </row>
    <row r="15" spans="2:29" ht="12.95" customHeight="1" thickBot="1" x14ac:dyDescent="0.3">
      <c r="D15" s="41">
        <f>ROUND(D14+((D16/D14)/(N16-N14))*(N15-N14),2)</f>
        <v>755.64</v>
      </c>
      <c r="E15" s="41">
        <f>ROUND(((E16-E14)/(N16-N14))*(N15-N14)+E14,2)</f>
        <v>19.38</v>
      </c>
      <c r="F15" s="123">
        <f t="shared" si="1"/>
        <v>755.64</v>
      </c>
      <c r="G15" s="58">
        <f t="shared" si="12"/>
        <v>-0.27899999999999636</v>
      </c>
      <c r="H15" s="115">
        <f t="shared" si="9"/>
        <v>-5.3900000000000003E-2</v>
      </c>
      <c r="I15" s="143">
        <f t="shared" si="8"/>
        <v>5.18</v>
      </c>
      <c r="J15" s="147">
        <f t="shared" si="13"/>
        <v>755.91899999999998</v>
      </c>
      <c r="K15" s="134">
        <f t="shared" si="10"/>
        <v>0.01</v>
      </c>
      <c r="L15" s="115">
        <f t="shared" si="14"/>
        <v>5.0000000000000044E-4</v>
      </c>
      <c r="M15" s="67">
        <f>$M$5+ROUND(($M$20-$M$5)/($N$20-$N$5)*($N15-$N$5),1)</f>
        <v>14.2</v>
      </c>
      <c r="N15" s="131">
        <v>2764</v>
      </c>
      <c r="O15" s="135">
        <v>755.90899999999999</v>
      </c>
      <c r="P15" s="67">
        <f t="shared" si="15"/>
        <v>9.18</v>
      </c>
      <c r="Q15" s="128">
        <v>-0.04</v>
      </c>
      <c r="R15" s="124">
        <f t="shared" si="3"/>
        <v>-0.37</v>
      </c>
      <c r="S15" s="129">
        <f t="shared" si="4"/>
        <v>755.53899999999999</v>
      </c>
      <c r="T15" s="133"/>
      <c r="U15" s="70"/>
      <c r="V15" s="71"/>
      <c r="W15" s="71"/>
      <c r="X15" s="71"/>
      <c r="Y15" s="71"/>
      <c r="Z15" s="71"/>
      <c r="AA15" s="71"/>
      <c r="AB15" s="41" t="s">
        <v>70</v>
      </c>
      <c r="AC15" s="41">
        <f>O15+4*Q15</f>
        <v>755.74900000000002</v>
      </c>
    </row>
    <row r="16" spans="2:29" ht="12.95" customHeight="1" thickBot="1" x14ac:dyDescent="0.3">
      <c r="B16" s="41">
        <v>5.1539999999999999</v>
      </c>
      <c r="C16" s="41">
        <v>2</v>
      </c>
      <c r="D16" s="41">
        <v>755.95500000000004</v>
      </c>
      <c r="E16" s="41">
        <v>19.073</v>
      </c>
      <c r="F16" s="123">
        <f t="shared" si="1"/>
        <v>755.96</v>
      </c>
      <c r="G16" s="58">
        <f t="shared" si="12"/>
        <v>-0.28999999999996362</v>
      </c>
      <c r="H16" s="58">
        <f t="shared" si="9"/>
        <v>-5.8400000000000001E-2</v>
      </c>
      <c r="I16" s="143">
        <f t="shared" si="8"/>
        <v>4.9700000000000006</v>
      </c>
      <c r="J16" s="146">
        <f t="shared" si="13"/>
        <v>756.25</v>
      </c>
      <c r="K16" s="58">
        <f>ROUND(L16*M16,2)</f>
        <v>0</v>
      </c>
      <c r="L16" s="115">
        <f t="shared" si="14"/>
        <v>1.0000000000000113E-4</v>
      </c>
      <c r="M16" s="67">
        <f t="shared" ref="M16:M19" si="20">$M$5+ROUND(($M$20-$M$5)/($N$20-$N$5)*($N16-$N$5),1)</f>
        <v>14.1</v>
      </c>
      <c r="N16" s="131">
        <v>2772.5</v>
      </c>
      <c r="O16" s="132">
        <v>756.25</v>
      </c>
      <c r="P16" s="67">
        <f t="shared" si="15"/>
        <v>9.24</v>
      </c>
      <c r="Q16" s="128">
        <v>-0.04</v>
      </c>
      <c r="R16" s="124">
        <f t="shared" si="3"/>
        <v>-0.37</v>
      </c>
      <c r="S16" s="129">
        <f t="shared" si="4"/>
        <v>755.88</v>
      </c>
      <c r="T16" s="133"/>
      <c r="U16" s="70">
        <f t="shared" si="5"/>
        <v>2772.5</v>
      </c>
      <c r="V16" s="71" t="str">
        <f t="shared" si="16"/>
        <v>4.97, -0.29</v>
      </c>
      <c r="W16" s="71" t="str">
        <f t="shared" si="17"/>
        <v>14.1, 0</v>
      </c>
      <c r="X16" s="71" t="str">
        <f t="shared" si="6"/>
        <v>9.24, -0.37</v>
      </c>
      <c r="Y16" s="71">
        <f t="shared" si="7"/>
        <v>-5.8400000000000001E-2</v>
      </c>
      <c r="Z16" s="71">
        <f t="shared" si="18"/>
        <v>1.0000000000000113E-4</v>
      </c>
      <c r="AA16" s="71">
        <f t="shared" si="19"/>
        <v>-0.04</v>
      </c>
    </row>
    <row r="17" spans="2:27" ht="12.95" customHeight="1" thickBot="1" x14ac:dyDescent="0.3">
      <c r="B17" s="41">
        <v>4.7949999999999999</v>
      </c>
      <c r="C17" s="41">
        <v>2</v>
      </c>
      <c r="D17" s="41">
        <v>756.06299999999999</v>
      </c>
      <c r="E17" s="41">
        <v>18.984000000000002</v>
      </c>
      <c r="F17" s="123">
        <f t="shared" si="1"/>
        <v>756.06</v>
      </c>
      <c r="G17" s="58">
        <f t="shared" si="12"/>
        <v>-0.29000000000007731</v>
      </c>
      <c r="H17" s="58">
        <f t="shared" si="9"/>
        <v>-5.9400000000000001E-2</v>
      </c>
      <c r="I17" s="143">
        <f t="shared" si="8"/>
        <v>4.8800000000000008</v>
      </c>
      <c r="J17" s="146">
        <f t="shared" si="13"/>
        <v>756.35</v>
      </c>
      <c r="K17" s="58">
        <f t="shared" si="10"/>
        <v>0</v>
      </c>
      <c r="L17" s="115">
        <f>$L$5+ROUND(($L$20-$L$5)/($N$20-$N$5)*($N17-$N$5),4)</f>
        <v>-9.9999999999999395E-5</v>
      </c>
      <c r="M17" s="67">
        <f t="shared" si="20"/>
        <v>14.1</v>
      </c>
      <c r="N17" s="131">
        <f>N14+25</f>
        <v>2775</v>
      </c>
      <c r="O17" s="132">
        <v>756.35</v>
      </c>
      <c r="P17" s="67">
        <f t="shared" si="15"/>
        <v>9.26</v>
      </c>
      <c r="Q17" s="128">
        <v>-0.04</v>
      </c>
      <c r="R17" s="124">
        <f t="shared" si="3"/>
        <v>-0.37</v>
      </c>
      <c r="S17" s="129">
        <f t="shared" si="4"/>
        <v>755.98</v>
      </c>
      <c r="T17" s="133"/>
      <c r="U17" s="70">
        <f t="shared" si="5"/>
        <v>2775</v>
      </c>
      <c r="V17" s="71" t="str">
        <f t="shared" si="16"/>
        <v>4.88, -0.29</v>
      </c>
      <c r="W17" s="71" t="str">
        <f t="shared" si="17"/>
        <v>14.1, 0</v>
      </c>
      <c r="X17" s="71" t="str">
        <f t="shared" si="6"/>
        <v>9.26, -0.37</v>
      </c>
      <c r="Y17" s="71">
        <f t="shared" si="7"/>
        <v>-5.9400000000000001E-2</v>
      </c>
      <c r="Z17" s="71">
        <f t="shared" si="18"/>
        <v>-9.9999999999999395E-5</v>
      </c>
      <c r="AA17" s="71">
        <f t="shared" si="19"/>
        <v>-0.04</v>
      </c>
    </row>
    <row r="18" spans="2:27" ht="12.95" customHeight="1" thickBot="1" x14ac:dyDescent="0.3">
      <c r="B18" s="41">
        <v>4.077</v>
      </c>
      <c r="C18" s="41">
        <v>2</v>
      </c>
      <c r="D18" s="41">
        <v>757.18899999999996</v>
      </c>
      <c r="E18" s="41">
        <v>18.085999999999999</v>
      </c>
      <c r="F18" s="123">
        <f t="shared" si="1"/>
        <v>757.19</v>
      </c>
      <c r="G18" s="58">
        <f t="shared" si="12"/>
        <v>-0.14999999999997726</v>
      </c>
      <c r="H18" s="58">
        <f t="shared" si="9"/>
        <v>-3.7600000000000001E-2</v>
      </c>
      <c r="I18" s="143">
        <f t="shared" si="8"/>
        <v>3.99</v>
      </c>
      <c r="J18" s="146">
        <f t="shared" si="13"/>
        <v>757.34</v>
      </c>
      <c r="K18" s="58">
        <f>ROUND(L18*M18,2)</f>
        <v>-0.02</v>
      </c>
      <c r="L18" s="115">
        <f t="shared" si="14"/>
        <v>-1.1999999999999997E-3</v>
      </c>
      <c r="M18" s="67">
        <f t="shared" si="20"/>
        <v>14.1</v>
      </c>
      <c r="N18" s="131">
        <f t="shared" si="2"/>
        <v>2800</v>
      </c>
      <c r="O18" s="132">
        <v>757.36</v>
      </c>
      <c r="P18" s="67">
        <f t="shared" si="15"/>
        <v>9.44</v>
      </c>
      <c r="Q18" s="128">
        <v>-0.04</v>
      </c>
      <c r="R18" s="124">
        <f t="shared" si="3"/>
        <v>-0.38</v>
      </c>
      <c r="S18" s="129">
        <f t="shared" si="4"/>
        <v>756.98</v>
      </c>
      <c r="T18" s="133"/>
      <c r="U18" s="70">
        <f t="shared" si="5"/>
        <v>2800</v>
      </c>
      <c r="V18" s="71" t="str">
        <f t="shared" si="16"/>
        <v>3.99, -0.15</v>
      </c>
      <c r="W18" s="71" t="str">
        <f t="shared" si="17"/>
        <v>14.1, -0.02</v>
      </c>
      <c r="X18" s="71" t="str">
        <f t="shared" si="6"/>
        <v>9.44, -0.38</v>
      </c>
      <c r="Y18" s="71">
        <f t="shared" si="7"/>
        <v>-3.7600000000000001E-2</v>
      </c>
      <c r="Z18" s="71">
        <f t="shared" si="18"/>
        <v>-1.1999999999999997E-3</v>
      </c>
      <c r="AA18" s="71">
        <f t="shared" si="19"/>
        <v>-0.04</v>
      </c>
    </row>
    <row r="19" spans="2:27" ht="12.95" customHeight="1" thickBot="1" x14ac:dyDescent="0.3">
      <c r="B19" s="41">
        <v>3.6989999999999998</v>
      </c>
      <c r="C19" s="41">
        <v>2</v>
      </c>
      <c r="D19" s="41">
        <v>758.28200000000004</v>
      </c>
      <c r="E19" s="41">
        <v>17.498000000000001</v>
      </c>
      <c r="F19" s="123">
        <f t="shared" si="1"/>
        <v>758.28</v>
      </c>
      <c r="G19" s="58">
        <f t="shared" si="12"/>
        <v>-5.0000000000068212E-2</v>
      </c>
      <c r="H19" s="58">
        <f t="shared" si="9"/>
        <v>-1.43E-2</v>
      </c>
      <c r="I19" s="143">
        <f t="shared" si="8"/>
        <v>3.5</v>
      </c>
      <c r="J19" s="146">
        <f t="shared" si="13"/>
        <v>758.33</v>
      </c>
      <c r="K19" s="58">
        <f t="shared" si="10"/>
        <v>-0.03</v>
      </c>
      <c r="L19" s="115">
        <f t="shared" si="14"/>
        <v>-2.3999999999999994E-3</v>
      </c>
      <c r="M19" s="67">
        <f t="shared" si="20"/>
        <v>14</v>
      </c>
      <c r="N19" s="131">
        <f t="shared" si="2"/>
        <v>2825</v>
      </c>
      <c r="O19" s="132">
        <v>758.36</v>
      </c>
      <c r="P19" s="67">
        <f t="shared" si="15"/>
        <v>9.620000000000001</v>
      </c>
      <c r="Q19" s="58">
        <f>$Q$18+ROUND(($Q$20-$Q$18)/($N$20-$N$18)*($N19-$N$18),4)</f>
        <v>-3.8900000000000004E-2</v>
      </c>
      <c r="R19" s="124">
        <f t="shared" si="3"/>
        <v>-0.37</v>
      </c>
      <c r="S19" s="129">
        <f t="shared" si="4"/>
        <v>757.99</v>
      </c>
      <c r="T19" s="133"/>
      <c r="U19" s="70">
        <f t="shared" si="5"/>
        <v>2825</v>
      </c>
      <c r="V19" s="71" t="str">
        <f t="shared" si="16"/>
        <v>3.5, -0.05</v>
      </c>
      <c r="W19" s="71" t="str">
        <f t="shared" si="17"/>
        <v>14, -0.03</v>
      </c>
      <c r="X19" s="71" t="str">
        <f t="shared" si="6"/>
        <v>9.62, -0.37</v>
      </c>
      <c r="Y19" s="71">
        <f t="shared" si="7"/>
        <v>-1.43E-2</v>
      </c>
      <c r="Z19" s="71">
        <f t="shared" si="18"/>
        <v>-2.3999999999999994E-3</v>
      </c>
      <c r="AA19" s="71">
        <f t="shared" si="19"/>
        <v>-3.8900000000000004E-2</v>
      </c>
    </row>
    <row r="20" spans="2:27" ht="12.95" customHeight="1" thickBot="1" x14ac:dyDescent="0.3">
      <c r="B20" s="41">
        <v>3.9009999999999998</v>
      </c>
      <c r="C20" s="41">
        <v>2</v>
      </c>
      <c r="D20" s="41">
        <v>759.33600000000001</v>
      </c>
      <c r="E20" s="41">
        <v>17.399999999999999</v>
      </c>
      <c r="F20" s="137">
        <f t="shared" si="1"/>
        <v>759.34</v>
      </c>
      <c r="G20" s="138">
        <f t="shared" si="12"/>
        <v>1.999999999998181E-2</v>
      </c>
      <c r="H20" s="138">
        <f t="shared" si="9"/>
        <v>5.7000000000000002E-3</v>
      </c>
      <c r="I20" s="144">
        <f t="shared" si="8"/>
        <v>3.4999999999999982</v>
      </c>
      <c r="J20" s="148">
        <v>759.32</v>
      </c>
      <c r="K20" s="138">
        <f>J20-O20</f>
        <v>-4.9999999999954525E-2</v>
      </c>
      <c r="L20" s="151">
        <f>ROUND(K20/M20,4)</f>
        <v>-3.5999999999999999E-3</v>
      </c>
      <c r="M20" s="119">
        <v>13.9</v>
      </c>
      <c r="N20" s="136">
        <f t="shared" si="2"/>
        <v>2850</v>
      </c>
      <c r="O20" s="139">
        <v>759.37</v>
      </c>
      <c r="P20" s="122">
        <v>9.8000000000000007</v>
      </c>
      <c r="Q20" s="119">
        <f>ROUND(R20/P20,4)</f>
        <v>-3.78E-2</v>
      </c>
      <c r="R20" s="138">
        <f>S20-O20</f>
        <v>-0.37000000000000455</v>
      </c>
      <c r="S20" s="140">
        <v>759</v>
      </c>
      <c r="T20" s="141" t="s">
        <v>12</v>
      </c>
      <c r="U20" s="70">
        <f t="shared" si="5"/>
        <v>2850</v>
      </c>
      <c r="V20" s="71" t="str">
        <f t="shared" si="16"/>
        <v>3.5, 0.02</v>
      </c>
      <c r="W20" s="71" t="str">
        <f t="shared" si="17"/>
        <v>13.9, -0.05</v>
      </c>
      <c r="X20" s="71" t="str">
        <f t="shared" si="6"/>
        <v>9.8, -0.37</v>
      </c>
      <c r="Y20" s="71">
        <f t="shared" si="7"/>
        <v>5.7000000000000002E-3</v>
      </c>
      <c r="Z20" s="71">
        <f t="shared" si="18"/>
        <v>-3.5999999999999999E-3</v>
      </c>
      <c r="AA20" s="71">
        <f t="shared" si="19"/>
        <v>-3.78E-2</v>
      </c>
    </row>
  </sheetData>
  <mergeCells count="9">
    <mergeCell ref="F2:T2"/>
    <mergeCell ref="F3:M3"/>
    <mergeCell ref="N3:N4"/>
    <mergeCell ref="P3:S3"/>
    <mergeCell ref="B3:B4"/>
    <mergeCell ref="C3:C4"/>
    <mergeCell ref="D3:D4"/>
    <mergeCell ref="E3:E4"/>
    <mergeCell ref="T3:T4"/>
  </mergeCells>
  <pageMargins left="0.7" right="0.7" top="0.75" bottom="0.75" header="0.3" footer="0.3"/>
  <pageSetup paperSize="1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321CF-21C1-41A4-9A34-28CBA2292FD9}">
  <dimension ref="B1:AV34"/>
  <sheetViews>
    <sheetView topLeftCell="E1" workbookViewId="0">
      <selection activeCell="M18" sqref="M18"/>
    </sheetView>
  </sheetViews>
  <sheetFormatPr defaultRowHeight="15" customHeight="1" x14ac:dyDescent="0.25"/>
  <cols>
    <col min="1" max="5" width="9.140625" style="41"/>
    <col min="6" max="6" width="10.7109375" style="41" customWidth="1"/>
    <col min="7" max="12" width="9.140625" style="41"/>
    <col min="13" max="13" width="11.140625" style="41" bestFit="1" customWidth="1"/>
    <col min="14" max="14" width="9.140625" style="42"/>
    <col min="15" max="15" width="10.7109375" style="41" customWidth="1"/>
    <col min="16" max="18" width="9.140625" style="41"/>
    <col min="19" max="19" width="9.140625" style="41" customWidth="1"/>
    <col min="20" max="20" width="20.7109375" style="43" customWidth="1"/>
    <col min="21" max="27" width="9.140625" style="41" hidden="1" customWidth="1"/>
    <col min="28" max="28" width="9.140625" style="41"/>
    <col min="29" max="29" width="11.42578125" style="41" customWidth="1"/>
    <col min="30" max="31" width="13.140625" style="41" customWidth="1"/>
    <col min="32" max="32" width="13.85546875" style="41" customWidth="1"/>
    <col min="33" max="34" width="9.140625" style="41"/>
    <col min="35" max="35" width="0" style="41" hidden="1" customWidth="1"/>
    <col min="36" max="40" width="9.140625" style="41"/>
    <col min="41" max="41" width="10.7109375" style="41" customWidth="1"/>
    <col min="42" max="42" width="9.140625" style="41"/>
    <col min="43" max="43" width="10.28515625" style="41" hidden="1" customWidth="1"/>
    <col min="44" max="44" width="13" style="41" hidden="1" customWidth="1"/>
    <col min="45" max="45" width="11.85546875" style="41" hidden="1" customWidth="1"/>
    <col min="46" max="46" width="11" style="41" hidden="1" customWidth="1"/>
    <col min="47" max="48" width="11" style="41" customWidth="1"/>
    <col min="49" max="49" width="12.7109375" style="41" customWidth="1"/>
    <col min="50" max="50" width="11.42578125" style="41" customWidth="1"/>
    <col min="51" max="51" width="12.140625" style="41" customWidth="1"/>
    <col min="52" max="52" width="12.85546875" style="41" customWidth="1"/>
    <col min="53" max="16384" width="9.140625" style="41"/>
  </cols>
  <sheetData>
    <row r="1" spans="2:47" ht="15" customHeight="1" thickBot="1" x14ac:dyDescent="0.3"/>
    <row r="2" spans="2:47" ht="30" customHeight="1" thickBot="1" x14ac:dyDescent="0.3">
      <c r="F2" s="187" t="s">
        <v>17</v>
      </c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9"/>
    </row>
    <row r="3" spans="2:47" ht="15" customHeight="1" x14ac:dyDescent="0.25">
      <c r="B3" s="180" t="s">
        <v>21</v>
      </c>
      <c r="C3" s="180" t="s">
        <v>16</v>
      </c>
      <c r="D3" s="180" t="s">
        <v>20</v>
      </c>
      <c r="E3" s="181" t="s">
        <v>22</v>
      </c>
      <c r="F3" s="190" t="s">
        <v>35</v>
      </c>
      <c r="G3" s="191"/>
      <c r="H3" s="191"/>
      <c r="I3" s="191"/>
      <c r="J3" s="191"/>
      <c r="K3" s="191"/>
      <c r="L3" s="191"/>
      <c r="M3" s="191"/>
      <c r="N3" s="192" t="s">
        <v>34</v>
      </c>
      <c r="O3" s="44" t="s">
        <v>27</v>
      </c>
      <c r="P3" s="194" t="s">
        <v>26</v>
      </c>
      <c r="Q3" s="191"/>
      <c r="R3" s="191"/>
      <c r="S3" s="191"/>
      <c r="T3" s="195" t="s">
        <v>24</v>
      </c>
    </row>
    <row r="4" spans="2:47" ht="30" customHeight="1" thickBot="1" x14ac:dyDescent="0.3">
      <c r="B4" s="180"/>
      <c r="C4" s="180"/>
      <c r="D4" s="180"/>
      <c r="E4" s="181"/>
      <c r="F4" s="45" t="s">
        <v>33</v>
      </c>
      <c r="G4" s="46" t="s">
        <v>25</v>
      </c>
      <c r="H4" s="46" t="s">
        <v>30</v>
      </c>
      <c r="I4" s="46" t="s">
        <v>29</v>
      </c>
      <c r="J4" s="47" t="s">
        <v>31</v>
      </c>
      <c r="K4" s="46" t="s">
        <v>25</v>
      </c>
      <c r="L4" s="46" t="s">
        <v>30</v>
      </c>
      <c r="M4" s="66" t="s">
        <v>32</v>
      </c>
      <c r="N4" s="193"/>
      <c r="O4" s="66" t="s">
        <v>28</v>
      </c>
      <c r="P4" s="50" t="s">
        <v>29</v>
      </c>
      <c r="Q4" s="46" t="s">
        <v>30</v>
      </c>
      <c r="R4" s="46" t="s">
        <v>25</v>
      </c>
      <c r="S4" s="47" t="s">
        <v>31</v>
      </c>
      <c r="T4" s="196"/>
      <c r="V4" s="41" t="s">
        <v>39</v>
      </c>
      <c r="W4" s="41" t="s">
        <v>40</v>
      </c>
      <c r="X4" s="41" t="s">
        <v>41</v>
      </c>
      <c r="Y4" s="41" t="s">
        <v>36</v>
      </c>
      <c r="Z4" s="41" t="s">
        <v>37</v>
      </c>
      <c r="AA4" s="41" t="s">
        <v>38</v>
      </c>
      <c r="AB4" s="52" t="s">
        <v>43</v>
      </c>
      <c r="AC4" s="73" t="s">
        <v>45</v>
      </c>
      <c r="AD4" s="73" t="s">
        <v>46</v>
      </c>
      <c r="AE4" s="73" t="s">
        <v>25</v>
      </c>
      <c r="AF4" s="73" t="s">
        <v>44</v>
      </c>
      <c r="AG4" s="73" t="s">
        <v>47</v>
      </c>
      <c r="AH4" s="73" t="s">
        <v>25</v>
      </c>
      <c r="AI4" s="73" t="s">
        <v>50</v>
      </c>
      <c r="AJ4" s="73" t="s">
        <v>42</v>
      </c>
      <c r="AK4" s="73" t="s">
        <v>48</v>
      </c>
      <c r="AL4" s="73" t="s">
        <v>25</v>
      </c>
      <c r="AM4" s="52" t="s">
        <v>27</v>
      </c>
      <c r="AN4" s="73" t="s">
        <v>49</v>
      </c>
      <c r="AO4" s="73" t="s">
        <v>25</v>
      </c>
      <c r="AP4" s="73" t="s">
        <v>44</v>
      </c>
      <c r="AQ4" s="73" t="s">
        <v>51</v>
      </c>
      <c r="AR4" s="73" t="s">
        <v>52</v>
      </c>
      <c r="AS4" s="73" t="s">
        <v>53</v>
      </c>
      <c r="AT4" s="73" t="s">
        <v>54</v>
      </c>
      <c r="AU4" s="72"/>
    </row>
    <row r="5" spans="2:47" ht="15" customHeight="1" thickBot="1" x14ac:dyDescent="0.3">
      <c r="B5" s="41" t="s">
        <v>19</v>
      </c>
      <c r="C5" s="41" t="s">
        <v>19</v>
      </c>
      <c r="D5" s="41">
        <v>749.39499999999998</v>
      </c>
      <c r="E5" s="41">
        <v>21.847000000000001</v>
      </c>
      <c r="F5" s="80">
        <v>749.4</v>
      </c>
      <c r="G5" s="52">
        <f t="shared" ref="G5:G11" si="0">F5-J5</f>
        <v>-4.0000000000077307E-2</v>
      </c>
      <c r="H5" s="53">
        <f>ROUND(G5/I5,4)</f>
        <v>-5.5999999999999999E-3</v>
      </c>
      <c r="I5" s="54">
        <v>7.15</v>
      </c>
      <c r="J5" s="54">
        <f>'16'' width'!J5</f>
        <v>749.44</v>
      </c>
      <c r="K5" s="53">
        <f>J5-O5</f>
        <v>0.12000000000000455</v>
      </c>
      <c r="L5" s="53">
        <f>ROUND(K5/M5,4)</f>
        <v>8.2000000000000007E-3</v>
      </c>
      <c r="M5" s="67">
        <f t="shared" ref="M5:M6" si="1">ROUND(E5-I5,2)</f>
        <v>14.7</v>
      </c>
      <c r="N5" s="55">
        <v>2600</v>
      </c>
      <c r="O5" s="56">
        <f>'16'' width'!O5</f>
        <v>749.32</v>
      </c>
      <c r="P5" s="78">
        <v>2.85</v>
      </c>
      <c r="Q5" s="52">
        <f>ROUND(R5/P5,4)</f>
        <v>-2.1100000000000001E-2</v>
      </c>
      <c r="R5" s="68">
        <f>S5-O5</f>
        <v>-6.0000000000059117E-2</v>
      </c>
      <c r="S5" s="79">
        <v>749.26</v>
      </c>
      <c r="T5" s="57" t="s">
        <v>12</v>
      </c>
      <c r="U5" s="70">
        <f>N5</f>
        <v>2600</v>
      </c>
      <c r="V5" s="71" t="str">
        <f t="shared" ref="V5:V11" si="2">_xlfn.CONCAT(I5,", ",ROUND(G5,2))</f>
        <v>7.15, -0.04</v>
      </c>
      <c r="W5" s="71" t="str">
        <f t="shared" ref="W5:W11" si="3">_xlfn.CONCAT(M5,", ",ROUND(K5,2))</f>
        <v>14.7, 0.12</v>
      </c>
      <c r="X5" s="71" t="str">
        <f>_xlfn.CONCAT(P5,", ",ROUND(R5,2))</f>
        <v>2.85, -0.06</v>
      </c>
      <c r="Y5" s="71">
        <f>H5</f>
        <v>-5.5999999999999999E-3</v>
      </c>
      <c r="Z5" s="71">
        <f t="shared" ref="Z5:Z11" si="4">L5</f>
        <v>8.2000000000000007E-3</v>
      </c>
      <c r="AA5" s="71">
        <f t="shared" ref="AA5:AA11" si="5">Q5</f>
        <v>-2.1100000000000001E-2</v>
      </c>
      <c r="AB5" s="74">
        <f>N5</f>
        <v>2600</v>
      </c>
      <c r="AC5" s="52">
        <f>F5</f>
        <v>749.4</v>
      </c>
      <c r="AD5" s="52">
        <f>I5</f>
        <v>7.15</v>
      </c>
      <c r="AE5" s="52">
        <f>AC5-AF5</f>
        <v>-4.0000000000077307E-2</v>
      </c>
      <c r="AF5" s="52">
        <f>J5</f>
        <v>749.44</v>
      </c>
      <c r="AG5" s="52">
        <f t="shared" ref="AG5:AG11" si="6">E5-AD5-AK5</f>
        <v>6.4570000000000007</v>
      </c>
      <c r="AH5" s="52">
        <f>AF5-AJ5</f>
        <v>0</v>
      </c>
      <c r="AI5" s="52">
        <v>749.43700000000001</v>
      </c>
      <c r="AJ5" s="52">
        <f t="shared" ref="AJ5:AJ11" si="7">ROUND(AI5,2)</f>
        <v>749.44</v>
      </c>
      <c r="AK5" s="52">
        <v>8.24</v>
      </c>
      <c r="AL5" s="52">
        <f>AJ5-AM5</f>
        <v>0.12000000000000455</v>
      </c>
      <c r="AM5" s="52">
        <f>O5</f>
        <v>749.32</v>
      </c>
      <c r="AN5" s="52">
        <f>P5</f>
        <v>2.85</v>
      </c>
      <c r="AO5" s="75">
        <f>AP5-AM5</f>
        <v>-6.0000000000059117E-2</v>
      </c>
      <c r="AP5" s="75">
        <f t="shared" ref="AP5:AP11" si="8">S5</f>
        <v>749.26</v>
      </c>
      <c r="AQ5" s="52">
        <f t="shared" ref="AQ5:AQ11" si="9">ROUND((AC5-AF5)/AD5,4)</f>
        <v>-5.5999999999999999E-3</v>
      </c>
      <c r="AR5" s="52">
        <f t="shared" ref="AR5:AR11" si="10">ROUND((AF5-AJ5)/AG5,4)</f>
        <v>0</v>
      </c>
      <c r="AS5" s="52">
        <f>ROUND((AJ5-AM5)/AK5,4)</f>
        <v>1.46E-2</v>
      </c>
      <c r="AT5" s="52">
        <f>ROUND((AM5-AP5)/AN5,4)</f>
        <v>2.1100000000000001E-2</v>
      </c>
    </row>
    <row r="6" spans="2:47" ht="15" customHeight="1" thickBot="1" x14ac:dyDescent="0.3">
      <c r="B6" s="41" t="s">
        <v>19</v>
      </c>
      <c r="C6" s="41" t="s">
        <v>19</v>
      </c>
      <c r="D6" s="41">
        <v>750.49800000000005</v>
      </c>
      <c r="E6" s="41">
        <v>22.027000000000001</v>
      </c>
      <c r="F6" s="80">
        <v>750.5</v>
      </c>
      <c r="G6" s="52">
        <f t="shared" si="0"/>
        <v>9.9999999999909051E-3</v>
      </c>
      <c r="H6" s="52">
        <f>ROUND(G6/I6,4)</f>
        <v>1.2999999999999999E-3</v>
      </c>
      <c r="I6" s="54">
        <v>7.46</v>
      </c>
      <c r="J6" s="59">
        <v>750.49</v>
      </c>
      <c r="K6" s="53">
        <f t="shared" ref="K6:K18" si="11">J6-O6</f>
        <v>0.14999999999997726</v>
      </c>
      <c r="L6" s="53">
        <f t="shared" ref="L6:L18" si="12">ROUND(K6/M6,4)</f>
        <v>1.03E-2</v>
      </c>
      <c r="M6" s="67">
        <f t="shared" si="1"/>
        <v>14.57</v>
      </c>
      <c r="N6" s="60">
        <f t="shared" ref="N6:N18" si="13">N5+25</f>
        <v>2625</v>
      </c>
      <c r="O6" s="56">
        <v>750.34</v>
      </c>
      <c r="P6" s="78">
        <v>2.86</v>
      </c>
      <c r="Q6" s="52">
        <f t="shared" ref="Q6:Q18" si="14">ROUND(R6/P6,4)</f>
        <v>-2.4500000000000001E-2</v>
      </c>
      <c r="R6" s="68">
        <f t="shared" ref="R6:R18" si="15">S6-O6</f>
        <v>-7.0000000000050022E-2</v>
      </c>
      <c r="S6" s="79">
        <v>750.27</v>
      </c>
      <c r="T6" s="62"/>
      <c r="U6" s="70">
        <f t="shared" ref="U6:U18" si="16">N6</f>
        <v>2625</v>
      </c>
      <c r="V6" s="71" t="str">
        <f t="shared" si="2"/>
        <v>7.46, 0.01</v>
      </c>
      <c r="W6" s="71" t="str">
        <f t="shared" si="3"/>
        <v>14.57, 0.15</v>
      </c>
      <c r="X6" s="71" t="str">
        <f t="shared" ref="X6:X18" si="17">_xlfn.CONCAT(P6,", ",ROUND(R6,2))</f>
        <v>2.86, -0.07</v>
      </c>
      <c r="Y6" s="71">
        <f t="shared" ref="Y6:Y18" si="18">H6</f>
        <v>1.2999999999999999E-3</v>
      </c>
      <c r="Z6" s="71">
        <f t="shared" si="4"/>
        <v>1.03E-2</v>
      </c>
      <c r="AA6" s="71">
        <f t="shared" si="5"/>
        <v>-2.4500000000000001E-2</v>
      </c>
      <c r="AB6" s="74">
        <f t="shared" ref="AB6:AB17" si="19">N6</f>
        <v>2625</v>
      </c>
      <c r="AC6" s="52">
        <f t="shared" ref="AC6:AC18" si="20">F6</f>
        <v>750.5</v>
      </c>
      <c r="AD6" s="52">
        <f t="shared" ref="AD6:AD18" si="21">I6</f>
        <v>7.46</v>
      </c>
      <c r="AE6" s="52">
        <f t="shared" ref="AE6:AE18" si="22">AC6-AF6</f>
        <v>9.9999999999909051E-3</v>
      </c>
      <c r="AF6" s="52">
        <f t="shared" ref="AF6:AF18" si="23">J6</f>
        <v>750.49</v>
      </c>
      <c r="AG6" s="52">
        <f t="shared" si="6"/>
        <v>6.4290000000000003</v>
      </c>
      <c r="AH6" s="52">
        <f t="shared" ref="AH6:AH18" si="24">AF6-AJ6</f>
        <v>9.9999999999909051E-3</v>
      </c>
      <c r="AI6" s="52">
        <v>750.47900000000004</v>
      </c>
      <c r="AJ6" s="52">
        <f t="shared" si="7"/>
        <v>750.48</v>
      </c>
      <c r="AK6" s="52">
        <v>8.1379999999999999</v>
      </c>
      <c r="AL6" s="52">
        <f t="shared" ref="AL6:AL18" si="25">AJ6-AM6</f>
        <v>0.13999999999998636</v>
      </c>
      <c r="AM6" s="52">
        <f>O6</f>
        <v>750.34</v>
      </c>
      <c r="AN6" s="52">
        <f>P6</f>
        <v>2.86</v>
      </c>
      <c r="AO6" s="75">
        <f t="shared" ref="AO6:AO18" si="26">AP6-AM6</f>
        <v>-7.0000000000050022E-2</v>
      </c>
      <c r="AP6" s="75">
        <f t="shared" si="8"/>
        <v>750.27</v>
      </c>
      <c r="AQ6" s="52">
        <f t="shared" si="9"/>
        <v>1.2999999999999999E-3</v>
      </c>
      <c r="AR6" s="52">
        <f t="shared" si="10"/>
        <v>1.6000000000000001E-3</v>
      </c>
      <c r="AS6" s="52">
        <f>ROUND((AJ6-AM6)/AK6,4)</f>
        <v>1.72E-2</v>
      </c>
      <c r="AT6" s="52">
        <f t="shared" ref="AT6:AT18" si="27">ROUND((AM6-AP6)/AN6,4)</f>
        <v>2.4500000000000001E-2</v>
      </c>
    </row>
    <row r="7" spans="2:47" ht="15" customHeight="1" thickBot="1" x14ac:dyDescent="0.3">
      <c r="B7" s="41" t="s">
        <v>19</v>
      </c>
      <c r="C7" s="41" t="s">
        <v>19</v>
      </c>
      <c r="D7" s="41">
        <v>751.70600000000002</v>
      </c>
      <c r="E7" s="41">
        <v>23.713999999999999</v>
      </c>
      <c r="F7" s="80">
        <f t="shared" ref="F7:F18" si="28">IF(D7="","",ROUND(D7,2))</f>
        <v>751.71</v>
      </c>
      <c r="G7" s="52">
        <f t="shared" si="0"/>
        <v>0.13999999999998636</v>
      </c>
      <c r="H7" s="52">
        <f t="shared" ref="H7:H18" si="29">ROUND(G7/I7,4)</f>
        <v>1.41E-2</v>
      </c>
      <c r="I7" s="54">
        <v>9.9</v>
      </c>
      <c r="J7" s="59">
        <v>751.57</v>
      </c>
      <c r="K7" s="53">
        <f t="shared" si="11"/>
        <v>0.24000000000000909</v>
      </c>
      <c r="L7" s="53">
        <f t="shared" si="12"/>
        <v>1.7399999999999999E-2</v>
      </c>
      <c r="M7" s="67">
        <f>ROUND(E7-I7,2)</f>
        <v>13.81</v>
      </c>
      <c r="N7" s="60">
        <f>N6+25</f>
        <v>2650</v>
      </c>
      <c r="O7" s="56">
        <v>751.33</v>
      </c>
      <c r="P7" s="78">
        <v>7.7</v>
      </c>
      <c r="Q7" s="52">
        <f t="shared" si="14"/>
        <v>-1.2999999999999999E-2</v>
      </c>
      <c r="R7" s="68">
        <f t="shared" si="15"/>
        <v>-0.10000000000002274</v>
      </c>
      <c r="S7" s="79">
        <v>751.23</v>
      </c>
      <c r="T7" s="62"/>
      <c r="U7" s="70">
        <f t="shared" si="16"/>
        <v>2650</v>
      </c>
      <c r="V7" s="71" t="str">
        <f t="shared" si="2"/>
        <v>9.9, 0.14</v>
      </c>
      <c r="W7" s="71" t="str">
        <f t="shared" si="3"/>
        <v>13.81, 0.24</v>
      </c>
      <c r="X7" s="71" t="str">
        <f t="shared" si="17"/>
        <v>7.7, -0.1</v>
      </c>
      <c r="Y7" s="71">
        <f t="shared" si="18"/>
        <v>1.41E-2</v>
      </c>
      <c r="Z7" s="71">
        <f t="shared" si="4"/>
        <v>1.7399999999999999E-2</v>
      </c>
      <c r="AA7" s="71">
        <f t="shared" si="5"/>
        <v>-1.2999999999999999E-2</v>
      </c>
      <c r="AB7" s="74">
        <f t="shared" si="19"/>
        <v>2650</v>
      </c>
      <c r="AC7" s="52">
        <f t="shared" si="20"/>
        <v>751.71</v>
      </c>
      <c r="AD7" s="52">
        <f t="shared" si="21"/>
        <v>9.9</v>
      </c>
      <c r="AE7" s="52">
        <f t="shared" si="22"/>
        <v>0.13999999999998636</v>
      </c>
      <c r="AF7" s="52">
        <f t="shared" si="23"/>
        <v>751.57</v>
      </c>
      <c r="AG7" s="52">
        <f t="shared" si="6"/>
        <v>6.1729999999999983</v>
      </c>
      <c r="AH7" s="52">
        <f t="shared" si="24"/>
        <v>0.17000000000007276</v>
      </c>
      <c r="AI7" s="52">
        <v>751.39499999999998</v>
      </c>
      <c r="AJ7" s="52">
        <f t="shared" si="7"/>
        <v>751.4</v>
      </c>
      <c r="AK7" s="52">
        <v>7.641</v>
      </c>
      <c r="AL7" s="52">
        <f t="shared" si="25"/>
        <v>6.9999999999936335E-2</v>
      </c>
      <c r="AM7" s="52">
        <f t="shared" ref="AM7:AN11" si="30">O7</f>
        <v>751.33</v>
      </c>
      <c r="AN7" s="52">
        <f t="shared" si="30"/>
        <v>7.7</v>
      </c>
      <c r="AO7" s="75">
        <f t="shared" si="26"/>
        <v>-0.10000000000002274</v>
      </c>
      <c r="AP7" s="75">
        <f t="shared" si="8"/>
        <v>751.23</v>
      </c>
      <c r="AQ7" s="52">
        <f t="shared" si="9"/>
        <v>1.41E-2</v>
      </c>
      <c r="AR7" s="52">
        <f t="shared" si="10"/>
        <v>2.75E-2</v>
      </c>
      <c r="AS7" s="52">
        <f t="shared" ref="AS7:AS18" si="31">ROUND((AJ7-AM7)/AK7,4)</f>
        <v>9.1999999999999998E-3</v>
      </c>
      <c r="AT7" s="52">
        <f t="shared" si="27"/>
        <v>1.2999999999999999E-2</v>
      </c>
    </row>
    <row r="8" spans="2:47" ht="15" customHeight="1" thickBot="1" x14ac:dyDescent="0.3">
      <c r="B8" s="41">
        <v>7.89</v>
      </c>
      <c r="C8" s="41">
        <v>2</v>
      </c>
      <c r="D8" s="41">
        <v>752.51199999999994</v>
      </c>
      <c r="E8" s="41">
        <v>22.763999999999999</v>
      </c>
      <c r="F8" s="80">
        <f t="shared" si="28"/>
        <v>752.51</v>
      </c>
      <c r="G8" s="52">
        <f t="shared" si="0"/>
        <v>-8.0000000000040927E-2</v>
      </c>
      <c r="H8" s="52">
        <f t="shared" si="29"/>
        <v>-9.7999999999999997E-3</v>
      </c>
      <c r="I8" s="54">
        <v>8.16</v>
      </c>
      <c r="J8" s="59">
        <v>752.59</v>
      </c>
      <c r="K8" s="53">
        <f t="shared" si="11"/>
        <v>0.25999999999999091</v>
      </c>
      <c r="L8" s="53">
        <f t="shared" si="12"/>
        <v>1.78E-2</v>
      </c>
      <c r="M8" s="67">
        <f t="shared" ref="M8:M18" si="32">ROUND(E8-I8,2)</f>
        <v>14.6</v>
      </c>
      <c r="N8" s="60">
        <f t="shared" si="13"/>
        <v>2675</v>
      </c>
      <c r="O8" s="56">
        <v>752.33</v>
      </c>
      <c r="P8" s="78">
        <v>8.51</v>
      </c>
      <c r="Q8" s="52">
        <f t="shared" si="14"/>
        <v>-5.8999999999999999E-3</v>
      </c>
      <c r="R8" s="68">
        <f t="shared" si="15"/>
        <v>-5.0000000000068212E-2</v>
      </c>
      <c r="S8" s="79">
        <v>752.28</v>
      </c>
      <c r="T8" s="62"/>
      <c r="U8" s="70">
        <f t="shared" si="16"/>
        <v>2675</v>
      </c>
      <c r="V8" s="71" t="str">
        <f t="shared" si="2"/>
        <v>8.16, -0.08</v>
      </c>
      <c r="W8" s="71" t="str">
        <f t="shared" si="3"/>
        <v>14.6, 0.26</v>
      </c>
      <c r="X8" s="71" t="str">
        <f t="shared" si="17"/>
        <v>8.51, -0.05</v>
      </c>
      <c r="Y8" s="71">
        <f t="shared" si="18"/>
        <v>-9.7999999999999997E-3</v>
      </c>
      <c r="Z8" s="71">
        <f t="shared" si="4"/>
        <v>1.78E-2</v>
      </c>
      <c r="AA8" s="71">
        <f t="shared" si="5"/>
        <v>-5.8999999999999999E-3</v>
      </c>
      <c r="AB8" s="74">
        <f t="shared" si="19"/>
        <v>2675</v>
      </c>
      <c r="AC8" s="52">
        <f t="shared" si="20"/>
        <v>752.51</v>
      </c>
      <c r="AD8" s="52">
        <f t="shared" si="21"/>
        <v>8.16</v>
      </c>
      <c r="AE8" s="52">
        <f t="shared" si="22"/>
        <v>-8.0000000000040927E-2</v>
      </c>
      <c r="AF8" s="52">
        <f t="shared" si="23"/>
        <v>752.59</v>
      </c>
      <c r="AG8" s="52">
        <f t="shared" si="6"/>
        <v>7.8179999999999996</v>
      </c>
      <c r="AH8" s="52">
        <f t="shared" si="24"/>
        <v>-4.9999999999954525E-2</v>
      </c>
      <c r="AI8" s="52">
        <v>752.63599999999997</v>
      </c>
      <c r="AJ8" s="52">
        <f t="shared" si="7"/>
        <v>752.64</v>
      </c>
      <c r="AK8" s="52">
        <v>6.7859999999999996</v>
      </c>
      <c r="AL8" s="52">
        <f t="shared" si="25"/>
        <v>0.30999999999994543</v>
      </c>
      <c r="AM8" s="52">
        <f t="shared" si="30"/>
        <v>752.33</v>
      </c>
      <c r="AN8" s="52">
        <f t="shared" si="30"/>
        <v>8.51</v>
      </c>
      <c r="AO8" s="75">
        <f t="shared" si="26"/>
        <v>-5.0000000000068212E-2</v>
      </c>
      <c r="AP8" s="75">
        <f t="shared" si="8"/>
        <v>752.28</v>
      </c>
      <c r="AQ8" s="52">
        <f t="shared" si="9"/>
        <v>-9.7999999999999997E-3</v>
      </c>
      <c r="AR8" s="52">
        <f t="shared" si="10"/>
        <v>-6.4000000000000003E-3</v>
      </c>
      <c r="AS8" s="52">
        <f t="shared" si="31"/>
        <v>4.5699999999999998E-2</v>
      </c>
      <c r="AT8" s="52">
        <f t="shared" si="27"/>
        <v>5.8999999999999999E-3</v>
      </c>
    </row>
    <row r="9" spans="2:47" ht="15" customHeight="1" thickBot="1" x14ac:dyDescent="0.3">
      <c r="B9" s="41">
        <v>7.1319999999999997</v>
      </c>
      <c r="C9" s="41">
        <v>2</v>
      </c>
      <c r="D9" s="41">
        <v>753.28499999999997</v>
      </c>
      <c r="E9" s="41">
        <v>21.818000000000001</v>
      </c>
      <c r="F9" s="80">
        <f t="shared" si="28"/>
        <v>753.29</v>
      </c>
      <c r="G9" s="52">
        <f t="shared" si="0"/>
        <v>-0.12999999999999545</v>
      </c>
      <c r="H9" s="52">
        <f t="shared" si="29"/>
        <v>-1.78E-2</v>
      </c>
      <c r="I9" s="54">
        <v>7.29</v>
      </c>
      <c r="J9" s="59">
        <v>753.42</v>
      </c>
      <c r="K9" s="53">
        <f t="shared" si="11"/>
        <v>7.999999999992724E-2</v>
      </c>
      <c r="L9" s="53">
        <f t="shared" si="12"/>
        <v>5.4999999999999997E-3</v>
      </c>
      <c r="M9" s="67">
        <f t="shared" si="32"/>
        <v>14.53</v>
      </c>
      <c r="N9" s="60">
        <f t="shared" si="13"/>
        <v>2700</v>
      </c>
      <c r="O9" s="56">
        <v>753.34</v>
      </c>
      <c r="P9" s="78">
        <v>9.26</v>
      </c>
      <c r="Q9" s="52">
        <f t="shared" si="14"/>
        <v>-3.2000000000000002E-3</v>
      </c>
      <c r="R9" s="68">
        <f t="shared" si="15"/>
        <v>-3.0000000000086402E-2</v>
      </c>
      <c r="S9" s="79">
        <v>753.31</v>
      </c>
      <c r="T9" s="62"/>
      <c r="U9" s="70">
        <f t="shared" si="16"/>
        <v>2700</v>
      </c>
      <c r="V9" s="71" t="str">
        <f t="shared" si="2"/>
        <v>7.29, -0.13</v>
      </c>
      <c r="W9" s="71" t="str">
        <f t="shared" si="3"/>
        <v>14.53, 0.08</v>
      </c>
      <c r="X9" s="71" t="str">
        <f t="shared" si="17"/>
        <v>9.26, -0.03</v>
      </c>
      <c r="Y9" s="71">
        <f t="shared" si="18"/>
        <v>-1.78E-2</v>
      </c>
      <c r="Z9" s="71">
        <f t="shared" si="4"/>
        <v>5.4999999999999997E-3</v>
      </c>
      <c r="AA9" s="71">
        <f t="shared" si="5"/>
        <v>-3.2000000000000002E-3</v>
      </c>
      <c r="AB9" s="74">
        <f t="shared" si="19"/>
        <v>2700</v>
      </c>
      <c r="AC9" s="52">
        <f t="shared" si="20"/>
        <v>753.29</v>
      </c>
      <c r="AD9" s="52">
        <f t="shared" si="21"/>
        <v>7.29</v>
      </c>
      <c r="AE9" s="52">
        <f t="shared" si="22"/>
        <v>-0.12999999999999545</v>
      </c>
      <c r="AF9" s="52">
        <f t="shared" si="23"/>
        <v>753.42</v>
      </c>
      <c r="AG9" s="52">
        <f t="shared" si="6"/>
        <v>7.8580000000000023</v>
      </c>
      <c r="AH9" s="52">
        <f t="shared" si="24"/>
        <v>-0.17000000000007276</v>
      </c>
      <c r="AI9" s="52">
        <v>753.59199999999998</v>
      </c>
      <c r="AJ9" s="52">
        <f t="shared" si="7"/>
        <v>753.59</v>
      </c>
      <c r="AK9" s="52">
        <v>6.67</v>
      </c>
      <c r="AL9" s="52">
        <f t="shared" si="25"/>
        <v>0.25</v>
      </c>
      <c r="AM9" s="52">
        <f t="shared" si="30"/>
        <v>753.34</v>
      </c>
      <c r="AN9" s="52">
        <f t="shared" si="30"/>
        <v>9.26</v>
      </c>
      <c r="AO9" s="75">
        <f t="shared" si="26"/>
        <v>-3.0000000000086402E-2</v>
      </c>
      <c r="AP9" s="75">
        <f t="shared" si="8"/>
        <v>753.31</v>
      </c>
      <c r="AQ9" s="52">
        <f t="shared" si="9"/>
        <v>-1.78E-2</v>
      </c>
      <c r="AR9" s="52">
        <f t="shared" si="10"/>
        <v>-2.1600000000000001E-2</v>
      </c>
      <c r="AS9" s="52">
        <f t="shared" si="31"/>
        <v>3.7499999999999999E-2</v>
      </c>
      <c r="AT9" s="52">
        <f t="shared" si="27"/>
        <v>3.2000000000000002E-3</v>
      </c>
    </row>
    <row r="10" spans="2:47" ht="15" customHeight="1" thickBot="1" x14ac:dyDescent="0.3">
      <c r="B10" s="41">
        <v>6.5339999999999998</v>
      </c>
      <c r="C10" s="41">
        <v>2</v>
      </c>
      <c r="D10" s="41">
        <v>753.851</v>
      </c>
      <c r="E10" s="41">
        <v>21.02</v>
      </c>
      <c r="F10" s="80">
        <f t="shared" si="28"/>
        <v>753.85</v>
      </c>
      <c r="G10" s="52">
        <f t="shared" si="0"/>
        <v>-0.15999999999996817</v>
      </c>
      <c r="H10" s="52">
        <f t="shared" si="29"/>
        <v>-2.4500000000000001E-2</v>
      </c>
      <c r="I10" s="54">
        <v>6.54</v>
      </c>
      <c r="J10" s="59">
        <v>754.01</v>
      </c>
      <c r="K10" s="53">
        <f t="shared" si="11"/>
        <v>-9.0000000000031832E-2</v>
      </c>
      <c r="L10" s="53">
        <f t="shared" si="12"/>
        <v>-6.1999999999999998E-3</v>
      </c>
      <c r="M10" s="67">
        <f t="shared" si="32"/>
        <v>14.48</v>
      </c>
      <c r="N10" s="60">
        <v>2719</v>
      </c>
      <c r="O10" s="56">
        <v>754.1</v>
      </c>
      <c r="P10" s="78">
        <v>9.4499999999999993</v>
      </c>
      <c r="Q10" s="52">
        <f t="shared" si="14"/>
        <v>-1.9E-2</v>
      </c>
      <c r="R10" s="68">
        <f t="shared" si="15"/>
        <v>-0.18000000000006366</v>
      </c>
      <c r="S10" s="79">
        <v>753.92</v>
      </c>
      <c r="T10" s="62" t="s">
        <v>18</v>
      </c>
      <c r="U10" s="70">
        <f t="shared" si="16"/>
        <v>2719</v>
      </c>
      <c r="V10" s="71" t="str">
        <f t="shared" si="2"/>
        <v>6.54, -0.16</v>
      </c>
      <c r="W10" s="71" t="str">
        <f t="shared" si="3"/>
        <v>14.48, -0.09</v>
      </c>
      <c r="X10" s="71" t="str">
        <f t="shared" si="17"/>
        <v>9.45, -0.18</v>
      </c>
      <c r="Y10" s="71">
        <f t="shared" si="18"/>
        <v>-2.4500000000000001E-2</v>
      </c>
      <c r="Z10" s="71">
        <f t="shared" si="4"/>
        <v>-6.1999999999999998E-3</v>
      </c>
      <c r="AA10" s="71">
        <f t="shared" si="5"/>
        <v>-1.9E-2</v>
      </c>
      <c r="AB10" s="74">
        <f t="shared" si="19"/>
        <v>2719</v>
      </c>
      <c r="AC10" s="52">
        <f t="shared" si="20"/>
        <v>753.85</v>
      </c>
      <c r="AD10" s="52">
        <f t="shared" si="21"/>
        <v>6.54</v>
      </c>
      <c r="AE10" s="52">
        <f t="shared" si="22"/>
        <v>-0.15999999999996817</v>
      </c>
      <c r="AF10" s="52">
        <f t="shared" si="23"/>
        <v>754.01</v>
      </c>
      <c r="AG10" s="52">
        <f t="shared" si="6"/>
        <v>8.3390000000000004</v>
      </c>
      <c r="AH10" s="52">
        <f t="shared" si="24"/>
        <v>-0.16999999999995907</v>
      </c>
      <c r="AI10" s="52">
        <v>754.17700000000002</v>
      </c>
      <c r="AJ10" s="52">
        <f t="shared" si="7"/>
        <v>754.18</v>
      </c>
      <c r="AK10" s="52">
        <v>6.141</v>
      </c>
      <c r="AL10" s="52">
        <f t="shared" si="25"/>
        <v>7.999999999992724E-2</v>
      </c>
      <c r="AM10" s="52">
        <f t="shared" si="30"/>
        <v>754.1</v>
      </c>
      <c r="AN10" s="52">
        <f t="shared" si="30"/>
        <v>9.4499999999999993</v>
      </c>
      <c r="AO10" s="75">
        <f t="shared" si="26"/>
        <v>-0.18000000000006366</v>
      </c>
      <c r="AP10" s="75">
        <f t="shared" si="8"/>
        <v>753.92</v>
      </c>
      <c r="AQ10" s="52">
        <f t="shared" si="9"/>
        <v>-2.4500000000000001E-2</v>
      </c>
      <c r="AR10" s="52">
        <f t="shared" si="10"/>
        <v>-2.0400000000000001E-2</v>
      </c>
      <c r="AS10" s="52">
        <f t="shared" si="31"/>
        <v>1.2999999999999999E-2</v>
      </c>
      <c r="AT10" s="52">
        <f t="shared" si="27"/>
        <v>1.9E-2</v>
      </c>
    </row>
    <row r="11" spans="2:47" ht="15" customHeight="1" thickBot="1" x14ac:dyDescent="0.3">
      <c r="B11" s="41">
        <v>6.2960000000000003</v>
      </c>
      <c r="C11" s="41">
        <v>2</v>
      </c>
      <c r="D11" s="41">
        <v>754.04399999999998</v>
      </c>
      <c r="E11" s="41">
        <v>20.858000000000001</v>
      </c>
      <c r="F11" s="80">
        <f t="shared" si="28"/>
        <v>754.04</v>
      </c>
      <c r="G11" s="52">
        <f t="shared" si="0"/>
        <v>-0.16000000000008185</v>
      </c>
      <c r="H11" s="52">
        <f t="shared" si="29"/>
        <v>-2.5000000000000001E-2</v>
      </c>
      <c r="I11" s="54">
        <v>6.4</v>
      </c>
      <c r="J11" s="59">
        <v>754.2</v>
      </c>
      <c r="K11" s="53">
        <f t="shared" si="11"/>
        <v>-0.13999999999998636</v>
      </c>
      <c r="L11" s="53">
        <f t="shared" si="12"/>
        <v>-9.7000000000000003E-3</v>
      </c>
      <c r="M11" s="67">
        <f t="shared" si="32"/>
        <v>14.46</v>
      </c>
      <c r="N11" s="60">
        <f>N9+25</f>
        <v>2725</v>
      </c>
      <c r="O11" s="56">
        <v>754.34</v>
      </c>
      <c r="P11" s="78">
        <v>9.51</v>
      </c>
      <c r="Q11" s="52">
        <f t="shared" si="14"/>
        <v>-2.4199999999999999E-2</v>
      </c>
      <c r="R11" s="68">
        <f t="shared" si="15"/>
        <v>-0.23000000000001819</v>
      </c>
      <c r="S11" s="79">
        <v>754.11</v>
      </c>
      <c r="T11" s="62"/>
      <c r="U11" s="70">
        <f t="shared" si="16"/>
        <v>2725</v>
      </c>
      <c r="V11" s="71" t="str">
        <f t="shared" si="2"/>
        <v>6.4, -0.16</v>
      </c>
      <c r="W11" s="71" t="str">
        <f t="shared" si="3"/>
        <v>14.46, -0.14</v>
      </c>
      <c r="X11" s="71" t="str">
        <f t="shared" si="17"/>
        <v>9.51, -0.23</v>
      </c>
      <c r="Y11" s="71">
        <f t="shared" si="18"/>
        <v>-2.5000000000000001E-2</v>
      </c>
      <c r="Z11" s="71">
        <f t="shared" si="4"/>
        <v>-9.7000000000000003E-3</v>
      </c>
      <c r="AA11" s="71">
        <f t="shared" si="5"/>
        <v>-2.4199999999999999E-2</v>
      </c>
      <c r="AB11" s="74">
        <f t="shared" si="19"/>
        <v>2725</v>
      </c>
      <c r="AC11" s="52">
        <f t="shared" si="20"/>
        <v>754.04</v>
      </c>
      <c r="AD11" s="52">
        <f t="shared" si="21"/>
        <v>6.4</v>
      </c>
      <c r="AE11" s="52">
        <f t="shared" si="22"/>
        <v>-0.16000000000008185</v>
      </c>
      <c r="AF11" s="52">
        <f t="shared" si="23"/>
        <v>754.2</v>
      </c>
      <c r="AG11" s="52">
        <f t="shared" si="6"/>
        <v>8.282</v>
      </c>
      <c r="AH11" s="52">
        <f t="shared" si="24"/>
        <v>-0.17999999999994998</v>
      </c>
      <c r="AI11" s="52">
        <v>754.37900000000002</v>
      </c>
      <c r="AJ11" s="52">
        <f t="shared" si="7"/>
        <v>754.38</v>
      </c>
      <c r="AK11" s="52">
        <v>6.1760000000000002</v>
      </c>
      <c r="AL11" s="52">
        <f t="shared" si="25"/>
        <v>3.999999999996362E-2</v>
      </c>
      <c r="AM11" s="52">
        <f t="shared" si="30"/>
        <v>754.34</v>
      </c>
      <c r="AN11" s="52">
        <f t="shared" si="30"/>
        <v>9.51</v>
      </c>
      <c r="AO11" s="75">
        <f t="shared" si="26"/>
        <v>-0.23000000000001819</v>
      </c>
      <c r="AP11" s="75">
        <f t="shared" si="8"/>
        <v>754.11</v>
      </c>
      <c r="AQ11" s="52">
        <f t="shared" si="9"/>
        <v>-2.5000000000000001E-2</v>
      </c>
      <c r="AR11" s="52">
        <f t="shared" si="10"/>
        <v>-2.1700000000000001E-2</v>
      </c>
      <c r="AS11" s="52">
        <f t="shared" si="31"/>
        <v>6.4999999999999997E-3</v>
      </c>
      <c r="AT11" s="52">
        <f t="shared" si="27"/>
        <v>2.4199999999999999E-2</v>
      </c>
    </row>
    <row r="12" spans="2:47" ht="15" hidden="1" customHeight="1" thickBot="1" x14ac:dyDescent="0.3">
      <c r="F12" s="80" t="str">
        <f t="shared" si="28"/>
        <v/>
      </c>
      <c r="G12" s="52"/>
      <c r="H12" s="52"/>
      <c r="I12" s="54" t="str">
        <f>IF(E12="","",ROUND(E12,2)-M12)</f>
        <v/>
      </c>
      <c r="J12" s="59"/>
      <c r="K12" s="53"/>
      <c r="L12" s="53"/>
      <c r="M12" s="67"/>
      <c r="N12" s="60">
        <v>2749.21</v>
      </c>
      <c r="O12" s="56"/>
      <c r="P12" s="78"/>
      <c r="Q12" s="52"/>
      <c r="R12" s="68"/>
      <c r="S12" s="79"/>
      <c r="T12" s="62" t="s">
        <v>23</v>
      </c>
      <c r="U12" s="70"/>
      <c r="V12" s="71"/>
      <c r="W12" s="71"/>
      <c r="X12" s="71"/>
      <c r="Y12" s="71"/>
      <c r="Z12" s="71"/>
      <c r="AA12" s="71"/>
      <c r="AB12" s="74"/>
      <c r="AC12" s="52" t="str">
        <f t="shared" si="20"/>
        <v/>
      </c>
      <c r="AD12" s="52" t="str">
        <f t="shared" si="21"/>
        <v/>
      </c>
      <c r="AE12" s="52" t="e">
        <f t="shared" si="22"/>
        <v>#VALUE!</v>
      </c>
      <c r="AF12" s="52"/>
      <c r="AG12" s="52"/>
      <c r="AH12" s="52">
        <f t="shared" si="24"/>
        <v>0</v>
      </c>
      <c r="AI12" s="52"/>
      <c r="AJ12" s="52"/>
      <c r="AK12" s="52"/>
      <c r="AL12" s="52">
        <f t="shared" si="25"/>
        <v>0</v>
      </c>
      <c r="AM12" s="52"/>
      <c r="AN12" s="52"/>
      <c r="AO12" s="75">
        <f t="shared" si="26"/>
        <v>0</v>
      </c>
      <c r="AP12" s="75"/>
      <c r="AQ12" s="52"/>
      <c r="AR12" s="52"/>
      <c r="AS12" s="52"/>
      <c r="AT12" s="52"/>
    </row>
    <row r="13" spans="2:47" ht="15" customHeight="1" thickBot="1" x14ac:dyDescent="0.3">
      <c r="B13" s="41">
        <v>5.5129999999999999</v>
      </c>
      <c r="C13" s="41">
        <v>2</v>
      </c>
      <c r="D13" s="41">
        <v>755.01400000000001</v>
      </c>
      <c r="E13" s="41">
        <v>19.89</v>
      </c>
      <c r="F13" s="80">
        <f t="shared" si="28"/>
        <v>755.01</v>
      </c>
      <c r="G13" s="52">
        <f t="shared" ref="G13:G18" si="33">F13-J13</f>
        <v>-7.0000000000050022E-2</v>
      </c>
      <c r="H13" s="52">
        <f t="shared" si="29"/>
        <v>-1.23E-2</v>
      </c>
      <c r="I13" s="54">
        <v>5.69</v>
      </c>
      <c r="J13" s="59">
        <v>755.08</v>
      </c>
      <c r="K13" s="53">
        <f t="shared" si="11"/>
        <v>-0.26999999999998181</v>
      </c>
      <c r="L13" s="53">
        <f t="shared" si="12"/>
        <v>-1.9E-2</v>
      </c>
      <c r="M13" s="67">
        <f t="shared" si="32"/>
        <v>14.2</v>
      </c>
      <c r="N13" s="60">
        <f>N11+25</f>
        <v>2750</v>
      </c>
      <c r="O13" s="56">
        <v>755.35</v>
      </c>
      <c r="P13" s="78">
        <v>9.76</v>
      </c>
      <c r="Q13" s="52">
        <f t="shared" si="14"/>
        <v>-0.1158</v>
      </c>
      <c r="R13" s="68">
        <f t="shared" si="15"/>
        <v>-1.1299999999999955</v>
      </c>
      <c r="S13" s="79">
        <v>754.22</v>
      </c>
      <c r="T13" s="62"/>
      <c r="U13" s="70">
        <f t="shared" si="16"/>
        <v>2750</v>
      </c>
      <c r="V13" s="71" t="str">
        <f t="shared" ref="V13:V18" si="34">_xlfn.CONCAT(I13,", ",ROUND(G13,2))</f>
        <v>5.69, -0.07</v>
      </c>
      <c r="W13" s="71" t="str">
        <f t="shared" ref="W13:W18" si="35">_xlfn.CONCAT(M13,", ",ROUND(K13,2))</f>
        <v>14.2, -0.27</v>
      </c>
      <c r="X13" s="71" t="str">
        <f t="shared" si="17"/>
        <v>9.76, -1.13</v>
      </c>
      <c r="Y13" s="71">
        <f>H13</f>
        <v>-1.23E-2</v>
      </c>
      <c r="Z13" s="71">
        <f t="shared" ref="Z13:Z18" si="36">L13</f>
        <v>-1.9E-2</v>
      </c>
      <c r="AA13" s="71">
        <f t="shared" ref="AA13:AA18" si="37">Q13</f>
        <v>-0.1158</v>
      </c>
      <c r="AB13" s="74">
        <f t="shared" si="19"/>
        <v>2750</v>
      </c>
      <c r="AC13" s="52">
        <f t="shared" si="20"/>
        <v>755.01</v>
      </c>
      <c r="AD13" s="52">
        <f t="shared" si="21"/>
        <v>5.69</v>
      </c>
      <c r="AE13" s="52">
        <f t="shared" si="22"/>
        <v>-7.0000000000050022E-2</v>
      </c>
      <c r="AF13" s="52">
        <f t="shared" si="23"/>
        <v>755.08</v>
      </c>
      <c r="AG13" s="52">
        <f t="shared" ref="AG13:AG18" si="38">E13-AD13-AK13</f>
        <v>8.4379999999999988</v>
      </c>
      <c r="AH13" s="52">
        <f t="shared" si="24"/>
        <v>-0.13999999999998636</v>
      </c>
      <c r="AI13" s="52">
        <v>755.22299999999996</v>
      </c>
      <c r="AJ13" s="52">
        <f t="shared" ref="AJ13:AJ18" si="39">ROUND(AI13,2)</f>
        <v>755.22</v>
      </c>
      <c r="AK13" s="52">
        <v>5.7619999999999996</v>
      </c>
      <c r="AL13" s="52">
        <f t="shared" si="25"/>
        <v>-0.12999999999999545</v>
      </c>
      <c r="AM13" s="52">
        <f t="shared" ref="AM13:AN18" si="40">O13</f>
        <v>755.35</v>
      </c>
      <c r="AN13" s="52">
        <f t="shared" si="40"/>
        <v>9.76</v>
      </c>
      <c r="AO13" s="75">
        <f t="shared" si="26"/>
        <v>-1.1299999999999955</v>
      </c>
      <c r="AP13" s="75">
        <f t="shared" ref="AP13:AP18" si="41">S13</f>
        <v>754.22</v>
      </c>
      <c r="AQ13" s="52">
        <f t="shared" ref="AQ13:AQ18" si="42">ROUND((AC13-AF13)/AD13,4)</f>
        <v>-1.23E-2</v>
      </c>
      <c r="AR13" s="52">
        <f t="shared" ref="AR13:AR18" si="43">ROUND((AF13-AJ13)/AG13,4)</f>
        <v>-1.66E-2</v>
      </c>
      <c r="AS13" s="52">
        <f t="shared" si="31"/>
        <v>-2.2599999999999999E-2</v>
      </c>
      <c r="AT13" s="52">
        <f t="shared" si="27"/>
        <v>0.1158</v>
      </c>
    </row>
    <row r="14" spans="2:47" ht="15" customHeight="1" thickBot="1" x14ac:dyDescent="0.3">
      <c r="B14" s="41">
        <v>5.1539999999999999</v>
      </c>
      <c r="C14" s="41">
        <v>2</v>
      </c>
      <c r="D14" s="41">
        <v>755.95500000000004</v>
      </c>
      <c r="E14" s="41">
        <v>19.073</v>
      </c>
      <c r="F14" s="80">
        <f t="shared" si="28"/>
        <v>755.96</v>
      </c>
      <c r="G14" s="52">
        <f t="shared" si="33"/>
        <v>3.0000000000086402E-2</v>
      </c>
      <c r="H14" s="52">
        <f t="shared" si="29"/>
        <v>6.0000000000000001E-3</v>
      </c>
      <c r="I14" s="54">
        <v>5.0199999999999996</v>
      </c>
      <c r="J14" s="59">
        <v>755.93</v>
      </c>
      <c r="K14" s="53">
        <f t="shared" si="11"/>
        <v>-0.32000000000005002</v>
      </c>
      <c r="L14" s="53">
        <f t="shared" si="12"/>
        <v>-2.2800000000000001E-2</v>
      </c>
      <c r="M14" s="67">
        <f t="shared" si="32"/>
        <v>14.05</v>
      </c>
      <c r="N14" s="60">
        <v>2772.5</v>
      </c>
      <c r="O14" s="56">
        <v>756.25</v>
      </c>
      <c r="P14" s="78">
        <v>10</v>
      </c>
      <c r="Q14" s="52">
        <f t="shared" si="14"/>
        <v>-4.9000000000000002E-2</v>
      </c>
      <c r="R14" s="68">
        <f t="shared" si="15"/>
        <v>-0.49000000000000909</v>
      </c>
      <c r="S14" s="79">
        <v>755.76</v>
      </c>
      <c r="T14" s="62"/>
      <c r="U14" s="70">
        <f t="shared" si="16"/>
        <v>2772.5</v>
      </c>
      <c r="V14" s="71" t="str">
        <f t="shared" si="34"/>
        <v>5.02, 0.03</v>
      </c>
      <c r="W14" s="71" t="str">
        <f t="shared" si="35"/>
        <v>14.05, -0.32</v>
      </c>
      <c r="X14" s="71" t="str">
        <f t="shared" si="17"/>
        <v>10, -0.49</v>
      </c>
      <c r="Y14" s="71">
        <f t="shared" si="18"/>
        <v>6.0000000000000001E-3</v>
      </c>
      <c r="Z14" s="71">
        <f t="shared" si="36"/>
        <v>-2.2800000000000001E-2</v>
      </c>
      <c r="AA14" s="71">
        <f t="shared" si="37"/>
        <v>-4.9000000000000002E-2</v>
      </c>
      <c r="AB14" s="74">
        <f t="shared" si="19"/>
        <v>2772.5</v>
      </c>
      <c r="AC14" s="52">
        <f t="shared" si="20"/>
        <v>755.96</v>
      </c>
      <c r="AD14" s="52">
        <f t="shared" si="21"/>
        <v>5.0199999999999996</v>
      </c>
      <c r="AE14" s="52">
        <f t="shared" si="22"/>
        <v>3.0000000000086402E-2</v>
      </c>
      <c r="AF14" s="52">
        <f t="shared" si="23"/>
        <v>755.93</v>
      </c>
      <c r="AG14" s="52">
        <f t="shared" si="38"/>
        <v>7.6750000000000007</v>
      </c>
      <c r="AH14" s="52">
        <f t="shared" si="24"/>
        <v>-6.0000000000059117E-2</v>
      </c>
      <c r="AI14" s="52">
        <v>755.98699999999997</v>
      </c>
      <c r="AJ14" s="52">
        <f t="shared" si="39"/>
        <v>755.99</v>
      </c>
      <c r="AK14" s="52">
        <v>6.3780000000000001</v>
      </c>
      <c r="AL14" s="52">
        <f t="shared" si="25"/>
        <v>-0.25999999999999091</v>
      </c>
      <c r="AM14" s="52">
        <f t="shared" si="40"/>
        <v>756.25</v>
      </c>
      <c r="AN14" s="52">
        <f t="shared" si="40"/>
        <v>10</v>
      </c>
      <c r="AO14" s="75">
        <f t="shared" si="26"/>
        <v>-0.49000000000000909</v>
      </c>
      <c r="AP14" s="75">
        <f t="shared" si="41"/>
        <v>755.76</v>
      </c>
      <c r="AQ14" s="52">
        <f t="shared" si="42"/>
        <v>6.0000000000000001E-3</v>
      </c>
      <c r="AR14" s="52">
        <f t="shared" si="43"/>
        <v>-7.7999999999999996E-3</v>
      </c>
      <c r="AS14" s="52">
        <f t="shared" si="31"/>
        <v>-4.0800000000000003E-2</v>
      </c>
      <c r="AT14" s="52">
        <f t="shared" si="27"/>
        <v>4.9000000000000002E-2</v>
      </c>
    </row>
    <row r="15" spans="2:47" ht="15" customHeight="1" thickBot="1" x14ac:dyDescent="0.3">
      <c r="B15" s="41">
        <v>4.7949999999999999</v>
      </c>
      <c r="C15" s="41">
        <v>2</v>
      </c>
      <c r="D15" s="41">
        <v>756.06299999999999</v>
      </c>
      <c r="E15" s="41">
        <v>18.984000000000002</v>
      </c>
      <c r="F15" s="80">
        <f t="shared" si="28"/>
        <v>756.06</v>
      </c>
      <c r="G15" s="52">
        <f t="shared" si="33"/>
        <v>3.999999999996362E-2</v>
      </c>
      <c r="H15" s="52">
        <f t="shared" si="29"/>
        <v>8.0999999999999996E-3</v>
      </c>
      <c r="I15" s="54">
        <v>4.95</v>
      </c>
      <c r="J15" s="59">
        <v>756.02</v>
      </c>
      <c r="K15" s="53">
        <f t="shared" si="11"/>
        <v>-0.33000000000004093</v>
      </c>
      <c r="L15" s="53">
        <f t="shared" si="12"/>
        <v>-2.35E-2</v>
      </c>
      <c r="M15" s="67">
        <f t="shared" si="32"/>
        <v>14.03</v>
      </c>
      <c r="N15" s="60">
        <f>N13+25</f>
        <v>2775</v>
      </c>
      <c r="O15" s="56">
        <v>756.35</v>
      </c>
      <c r="P15" s="78">
        <v>10.029999999999999</v>
      </c>
      <c r="Q15" s="52">
        <f t="shared" si="14"/>
        <v>-4.8899999999999999E-2</v>
      </c>
      <c r="R15" s="68">
        <f t="shared" si="15"/>
        <v>-0.49000000000000909</v>
      </c>
      <c r="S15" s="79">
        <v>755.86</v>
      </c>
      <c r="T15" s="62"/>
      <c r="U15" s="70">
        <f t="shared" si="16"/>
        <v>2775</v>
      </c>
      <c r="V15" s="71" t="str">
        <f t="shared" si="34"/>
        <v>4.95, 0.04</v>
      </c>
      <c r="W15" s="71" t="str">
        <f t="shared" si="35"/>
        <v>14.03, -0.33</v>
      </c>
      <c r="X15" s="71" t="str">
        <f t="shared" si="17"/>
        <v>10.03, -0.49</v>
      </c>
      <c r="Y15" s="71">
        <f t="shared" si="18"/>
        <v>8.0999999999999996E-3</v>
      </c>
      <c r="Z15" s="71">
        <f t="shared" si="36"/>
        <v>-2.35E-2</v>
      </c>
      <c r="AA15" s="71">
        <f t="shared" si="37"/>
        <v>-4.8899999999999999E-2</v>
      </c>
      <c r="AB15" s="74">
        <f t="shared" si="19"/>
        <v>2775</v>
      </c>
      <c r="AC15" s="52">
        <f t="shared" si="20"/>
        <v>756.06</v>
      </c>
      <c r="AD15" s="52">
        <f t="shared" si="21"/>
        <v>4.95</v>
      </c>
      <c r="AE15" s="52">
        <f t="shared" si="22"/>
        <v>3.999999999996362E-2</v>
      </c>
      <c r="AF15" s="52">
        <f t="shared" si="23"/>
        <v>756.02</v>
      </c>
      <c r="AG15" s="52">
        <f t="shared" si="38"/>
        <v>7.6000000000000023</v>
      </c>
      <c r="AH15" s="52">
        <f t="shared" si="24"/>
        <v>-6.0000000000059117E-2</v>
      </c>
      <c r="AI15" s="52">
        <v>756.077</v>
      </c>
      <c r="AJ15" s="52">
        <f t="shared" si="39"/>
        <v>756.08</v>
      </c>
      <c r="AK15" s="52">
        <v>6.4340000000000002</v>
      </c>
      <c r="AL15" s="52">
        <f t="shared" si="25"/>
        <v>-0.26999999999998181</v>
      </c>
      <c r="AM15" s="52">
        <f t="shared" si="40"/>
        <v>756.35</v>
      </c>
      <c r="AN15" s="52">
        <f t="shared" si="40"/>
        <v>10.029999999999999</v>
      </c>
      <c r="AO15" s="75">
        <f t="shared" si="26"/>
        <v>-0.49000000000000909</v>
      </c>
      <c r="AP15" s="75">
        <f t="shared" si="41"/>
        <v>755.86</v>
      </c>
      <c r="AQ15" s="52">
        <f t="shared" si="42"/>
        <v>8.0999999999999996E-3</v>
      </c>
      <c r="AR15" s="52">
        <f t="shared" si="43"/>
        <v>-7.9000000000000008E-3</v>
      </c>
      <c r="AS15" s="52">
        <f t="shared" si="31"/>
        <v>-4.2000000000000003E-2</v>
      </c>
      <c r="AT15" s="52">
        <f t="shared" si="27"/>
        <v>4.8899999999999999E-2</v>
      </c>
    </row>
    <row r="16" spans="2:47" ht="15" customHeight="1" thickBot="1" x14ac:dyDescent="0.3">
      <c r="B16" s="41">
        <v>4.077</v>
      </c>
      <c r="C16" s="41">
        <v>2</v>
      </c>
      <c r="D16" s="41">
        <v>757.18899999999996</v>
      </c>
      <c r="E16" s="41">
        <v>18.085999999999999</v>
      </c>
      <c r="F16" s="80">
        <f t="shared" si="28"/>
        <v>757.19</v>
      </c>
      <c r="G16" s="52">
        <f t="shared" si="33"/>
        <v>4.0000000000077307E-2</v>
      </c>
      <c r="H16" s="52">
        <f t="shared" si="29"/>
        <v>9.5999999999999992E-3</v>
      </c>
      <c r="I16" s="54">
        <v>4.18</v>
      </c>
      <c r="J16" s="59">
        <v>757.15</v>
      </c>
      <c r="K16" s="53">
        <f t="shared" si="11"/>
        <v>-0.21000000000003638</v>
      </c>
      <c r="L16" s="53">
        <f t="shared" si="12"/>
        <v>-1.5100000000000001E-2</v>
      </c>
      <c r="M16" s="67">
        <f t="shared" si="32"/>
        <v>13.91</v>
      </c>
      <c r="N16" s="60">
        <f t="shared" si="13"/>
        <v>2800</v>
      </c>
      <c r="O16" s="56">
        <v>757.36</v>
      </c>
      <c r="P16" s="78">
        <v>10.35</v>
      </c>
      <c r="Q16" s="52">
        <f t="shared" si="14"/>
        <v>-6.5699999999999995E-2</v>
      </c>
      <c r="R16" s="68">
        <f t="shared" si="15"/>
        <v>-0.68000000000006366</v>
      </c>
      <c r="S16" s="79">
        <v>756.68</v>
      </c>
      <c r="T16" s="62"/>
      <c r="U16" s="70">
        <f t="shared" si="16"/>
        <v>2800</v>
      </c>
      <c r="V16" s="71" t="str">
        <f t="shared" si="34"/>
        <v>4.18, 0.04</v>
      </c>
      <c r="W16" s="71" t="str">
        <f t="shared" si="35"/>
        <v>13.91, -0.21</v>
      </c>
      <c r="X16" s="71" t="str">
        <f t="shared" si="17"/>
        <v>10.35, -0.68</v>
      </c>
      <c r="Y16" s="71">
        <f t="shared" si="18"/>
        <v>9.5999999999999992E-3</v>
      </c>
      <c r="Z16" s="71">
        <f t="shared" si="36"/>
        <v>-1.5100000000000001E-2</v>
      </c>
      <c r="AA16" s="71">
        <f t="shared" si="37"/>
        <v>-6.5699999999999995E-2</v>
      </c>
      <c r="AB16" s="74">
        <f t="shared" si="19"/>
        <v>2800</v>
      </c>
      <c r="AC16" s="52">
        <f t="shared" si="20"/>
        <v>757.19</v>
      </c>
      <c r="AD16" s="52">
        <f t="shared" si="21"/>
        <v>4.18</v>
      </c>
      <c r="AE16" s="52">
        <f t="shared" si="22"/>
        <v>4.0000000000077307E-2</v>
      </c>
      <c r="AF16" s="52">
        <f t="shared" si="23"/>
        <v>757.15</v>
      </c>
      <c r="AG16" s="52">
        <f t="shared" si="38"/>
        <v>8.1289999999999978</v>
      </c>
      <c r="AH16" s="52">
        <f t="shared" si="24"/>
        <v>-9.9999999999909051E-3</v>
      </c>
      <c r="AI16" s="52">
        <v>757.16200000000003</v>
      </c>
      <c r="AJ16" s="52">
        <f t="shared" si="39"/>
        <v>757.16</v>
      </c>
      <c r="AK16" s="52">
        <v>5.7770000000000001</v>
      </c>
      <c r="AL16" s="52">
        <f t="shared" si="25"/>
        <v>-0.20000000000004547</v>
      </c>
      <c r="AM16" s="52">
        <f t="shared" si="40"/>
        <v>757.36</v>
      </c>
      <c r="AN16" s="52">
        <f t="shared" si="40"/>
        <v>10.35</v>
      </c>
      <c r="AO16" s="75">
        <f t="shared" si="26"/>
        <v>-0.68000000000006366</v>
      </c>
      <c r="AP16" s="75">
        <f t="shared" si="41"/>
        <v>756.68</v>
      </c>
      <c r="AQ16" s="52">
        <f t="shared" si="42"/>
        <v>9.5999999999999992E-3</v>
      </c>
      <c r="AR16" s="52">
        <f t="shared" si="43"/>
        <v>-1.1999999999999999E-3</v>
      </c>
      <c r="AS16" s="52">
        <f t="shared" si="31"/>
        <v>-3.4599999999999999E-2</v>
      </c>
      <c r="AT16" s="52">
        <f t="shared" si="27"/>
        <v>6.5699999999999995E-2</v>
      </c>
    </row>
    <row r="17" spans="2:48" ht="15" customHeight="1" thickBot="1" x14ac:dyDescent="0.3">
      <c r="B17" s="41">
        <v>3.6989999999999998</v>
      </c>
      <c r="C17" s="41">
        <v>2</v>
      </c>
      <c r="D17" s="41">
        <v>758.28200000000004</v>
      </c>
      <c r="E17" s="41">
        <v>17.498000000000001</v>
      </c>
      <c r="F17" s="80">
        <f t="shared" si="28"/>
        <v>758.28</v>
      </c>
      <c r="G17" s="52">
        <f t="shared" si="33"/>
        <v>-9.9999999999909051E-3</v>
      </c>
      <c r="H17" s="52">
        <f t="shared" si="29"/>
        <v>-2.7000000000000001E-3</v>
      </c>
      <c r="I17" s="54">
        <v>3.76</v>
      </c>
      <c r="J17" s="59">
        <v>758.29</v>
      </c>
      <c r="K17" s="53">
        <f t="shared" si="11"/>
        <v>-7.0000000000050022E-2</v>
      </c>
      <c r="L17" s="53">
        <f t="shared" si="12"/>
        <v>-5.1000000000000004E-3</v>
      </c>
      <c r="M17" s="67">
        <f t="shared" si="32"/>
        <v>13.74</v>
      </c>
      <c r="N17" s="60">
        <f t="shared" si="13"/>
        <v>2825</v>
      </c>
      <c r="O17" s="56">
        <v>758.36</v>
      </c>
      <c r="P17" s="78">
        <v>10.46</v>
      </c>
      <c r="Q17" s="52">
        <f t="shared" si="14"/>
        <v>-4.02E-2</v>
      </c>
      <c r="R17" s="68">
        <f t="shared" si="15"/>
        <v>-0.41999999999995907</v>
      </c>
      <c r="S17" s="79">
        <v>757.94</v>
      </c>
      <c r="T17" s="62"/>
      <c r="U17" s="70">
        <f t="shared" si="16"/>
        <v>2825</v>
      </c>
      <c r="V17" s="71" t="str">
        <f t="shared" si="34"/>
        <v>3.76, -0.01</v>
      </c>
      <c r="W17" s="71" t="str">
        <f t="shared" si="35"/>
        <v>13.74, -0.07</v>
      </c>
      <c r="X17" s="71" t="str">
        <f t="shared" si="17"/>
        <v>10.46, -0.42</v>
      </c>
      <c r="Y17" s="71">
        <f t="shared" si="18"/>
        <v>-2.7000000000000001E-3</v>
      </c>
      <c r="Z17" s="71">
        <f t="shared" si="36"/>
        <v>-5.1000000000000004E-3</v>
      </c>
      <c r="AA17" s="71">
        <f t="shared" si="37"/>
        <v>-4.02E-2</v>
      </c>
      <c r="AB17" s="74">
        <f t="shared" si="19"/>
        <v>2825</v>
      </c>
      <c r="AC17" s="52">
        <f t="shared" si="20"/>
        <v>758.28</v>
      </c>
      <c r="AD17" s="52">
        <f t="shared" si="21"/>
        <v>3.76</v>
      </c>
      <c r="AE17" s="52">
        <f t="shared" si="22"/>
        <v>-9.9999999999909051E-3</v>
      </c>
      <c r="AF17" s="52">
        <f t="shared" si="23"/>
        <v>758.29</v>
      </c>
      <c r="AG17" s="52">
        <f t="shared" si="38"/>
        <v>8.2550000000000026</v>
      </c>
      <c r="AH17" s="52">
        <f t="shared" si="24"/>
        <v>-3.0000000000086402E-2</v>
      </c>
      <c r="AI17" s="52">
        <v>758.32399999999996</v>
      </c>
      <c r="AJ17" s="52">
        <f t="shared" si="39"/>
        <v>758.32</v>
      </c>
      <c r="AK17" s="52">
        <v>5.4829999999999997</v>
      </c>
      <c r="AL17" s="52">
        <f t="shared" si="25"/>
        <v>-3.999999999996362E-2</v>
      </c>
      <c r="AM17" s="52">
        <f t="shared" si="40"/>
        <v>758.36</v>
      </c>
      <c r="AN17" s="52">
        <f t="shared" si="40"/>
        <v>10.46</v>
      </c>
      <c r="AO17" s="75">
        <f t="shared" si="26"/>
        <v>-0.41999999999995907</v>
      </c>
      <c r="AP17" s="75">
        <f t="shared" si="41"/>
        <v>757.94</v>
      </c>
      <c r="AQ17" s="52">
        <f t="shared" si="42"/>
        <v>-2.7000000000000001E-3</v>
      </c>
      <c r="AR17" s="52">
        <f t="shared" si="43"/>
        <v>-3.5999999999999999E-3</v>
      </c>
      <c r="AS17" s="52">
        <f t="shared" si="31"/>
        <v>-7.3000000000000001E-3</v>
      </c>
      <c r="AT17" s="52">
        <f t="shared" si="27"/>
        <v>4.02E-2</v>
      </c>
    </row>
    <row r="18" spans="2:48" ht="15" customHeight="1" thickBot="1" x14ac:dyDescent="0.3">
      <c r="B18" s="41">
        <v>3.9009999999999998</v>
      </c>
      <c r="C18" s="41">
        <v>2</v>
      </c>
      <c r="D18" s="41">
        <v>759.33600000000001</v>
      </c>
      <c r="E18" s="41">
        <v>17.411999999999999</v>
      </c>
      <c r="F18" s="81">
        <f t="shared" si="28"/>
        <v>759.34</v>
      </c>
      <c r="G18" s="64">
        <f t="shared" si="33"/>
        <v>-2.9999999999972715E-2</v>
      </c>
      <c r="H18" s="64">
        <f t="shared" si="29"/>
        <v>-8.5000000000000006E-3</v>
      </c>
      <c r="I18" s="46">
        <v>3.55</v>
      </c>
      <c r="J18" s="46">
        <v>759.37</v>
      </c>
      <c r="K18" s="64">
        <f t="shared" si="11"/>
        <v>0</v>
      </c>
      <c r="L18" s="64">
        <f t="shared" si="12"/>
        <v>0</v>
      </c>
      <c r="M18" s="76">
        <f t="shared" si="32"/>
        <v>13.86</v>
      </c>
      <c r="N18" s="48">
        <f t="shared" si="13"/>
        <v>2850</v>
      </c>
      <c r="O18" s="49">
        <v>759.37</v>
      </c>
      <c r="P18" s="50">
        <v>10.62</v>
      </c>
      <c r="Q18" s="64">
        <f t="shared" si="14"/>
        <v>-2.92E-2</v>
      </c>
      <c r="R18" s="77">
        <f t="shared" si="15"/>
        <v>-0.31000000000005912</v>
      </c>
      <c r="S18" s="69">
        <v>759.06</v>
      </c>
      <c r="T18" s="65" t="s">
        <v>12</v>
      </c>
      <c r="U18" s="70">
        <f t="shared" si="16"/>
        <v>2850</v>
      </c>
      <c r="V18" s="71" t="str">
        <f t="shared" si="34"/>
        <v>3.55, -0.03</v>
      </c>
      <c r="W18" s="71" t="str">
        <f t="shared" si="35"/>
        <v>13.86, 0</v>
      </c>
      <c r="X18" s="71" t="str">
        <f t="shared" si="17"/>
        <v>10.62, -0.31</v>
      </c>
      <c r="Y18" s="71">
        <f t="shared" si="18"/>
        <v>-8.5000000000000006E-3</v>
      </c>
      <c r="Z18" s="71">
        <f t="shared" si="36"/>
        <v>0</v>
      </c>
      <c r="AA18" s="71">
        <f t="shared" si="37"/>
        <v>-2.92E-2</v>
      </c>
      <c r="AB18" s="74">
        <f>N18</f>
        <v>2850</v>
      </c>
      <c r="AC18" s="52">
        <f t="shared" si="20"/>
        <v>759.34</v>
      </c>
      <c r="AD18" s="52">
        <f t="shared" si="21"/>
        <v>3.55</v>
      </c>
      <c r="AE18" s="52">
        <f t="shared" si="22"/>
        <v>-2.9999999999972715E-2</v>
      </c>
      <c r="AF18" s="52">
        <f t="shared" si="23"/>
        <v>759.37</v>
      </c>
      <c r="AG18" s="52">
        <f t="shared" si="38"/>
        <v>8.4289999999999985</v>
      </c>
      <c r="AH18" s="52">
        <f t="shared" si="24"/>
        <v>-0.11000000000001364</v>
      </c>
      <c r="AI18" s="52">
        <v>759.48</v>
      </c>
      <c r="AJ18" s="52">
        <f t="shared" si="39"/>
        <v>759.48</v>
      </c>
      <c r="AK18" s="52">
        <v>5.4329999999999998</v>
      </c>
      <c r="AL18" s="52">
        <f t="shared" si="25"/>
        <v>0.11000000000001364</v>
      </c>
      <c r="AM18" s="52">
        <f t="shared" si="40"/>
        <v>759.37</v>
      </c>
      <c r="AN18" s="52">
        <f t="shared" si="40"/>
        <v>10.62</v>
      </c>
      <c r="AO18" s="75">
        <f t="shared" si="26"/>
        <v>-0.31000000000005912</v>
      </c>
      <c r="AP18" s="75">
        <f t="shared" si="41"/>
        <v>759.06</v>
      </c>
      <c r="AQ18" s="52">
        <f t="shared" si="42"/>
        <v>-8.5000000000000006E-3</v>
      </c>
      <c r="AR18" s="52">
        <f t="shared" si="43"/>
        <v>-1.3100000000000001E-2</v>
      </c>
      <c r="AS18" s="52">
        <f t="shared" si="31"/>
        <v>2.0199999999999999E-2</v>
      </c>
      <c r="AT18" s="52">
        <f t="shared" si="27"/>
        <v>2.92E-2</v>
      </c>
    </row>
    <row r="20" spans="2:48" ht="15" customHeight="1" x14ac:dyDescent="0.25">
      <c r="AB20" s="184" t="s">
        <v>55</v>
      </c>
      <c r="AC20" s="185"/>
      <c r="AD20" s="185"/>
      <c r="AE20" s="185"/>
      <c r="AF20" s="186"/>
      <c r="AG20" s="86"/>
    </row>
    <row r="21" spans="2:48" ht="30" customHeight="1" x14ac:dyDescent="0.25">
      <c r="AB21" s="73" t="s">
        <v>43</v>
      </c>
      <c r="AC21" s="73" t="str">
        <f>AQ4</f>
        <v>SLOPE: SHLDR-EOP</v>
      </c>
      <c r="AD21" s="73" t="str">
        <f>AR4</f>
        <v>SLOPE: EOP TO CROWN</v>
      </c>
      <c r="AE21" s="73" t="str">
        <f>AS4</f>
        <v>SLOPE: CROWN TO BL</v>
      </c>
      <c r="AF21" s="73" t="str">
        <f>AT4</f>
        <v>SLOPE: BL TO SHLDR</v>
      </c>
      <c r="AH21" s="72"/>
      <c r="AJ21" s="41" t="s">
        <v>57</v>
      </c>
      <c r="AK21" s="41" t="s">
        <v>1</v>
      </c>
      <c r="AL21" s="41" t="s">
        <v>58</v>
      </c>
      <c r="AM21" s="41" t="s">
        <v>59</v>
      </c>
      <c r="AN21" s="41" t="s">
        <v>57</v>
      </c>
      <c r="AO21" s="41" t="s">
        <v>60</v>
      </c>
      <c r="AP21" s="41" t="s">
        <v>61</v>
      </c>
      <c r="AU21" s="41" t="s">
        <v>62</v>
      </c>
      <c r="AV21" s="41" t="s">
        <v>63</v>
      </c>
    </row>
    <row r="22" spans="2:48" ht="15" customHeight="1" x14ac:dyDescent="0.25">
      <c r="AB22" s="74">
        <f t="shared" ref="AB22:AB28" si="44">AB5</f>
        <v>2600</v>
      </c>
      <c r="AC22" s="52" t="str">
        <f t="shared" ref="AC22:AF23" si="45">_xlfn.CONCAT(IF(AQ5&gt;0,"↓",IF(AQ5=0,"-- ","↑")),ABS(AQ5))</f>
        <v>↑0.0056</v>
      </c>
      <c r="AD22" s="52" t="str">
        <f t="shared" si="45"/>
        <v>-- 0</v>
      </c>
      <c r="AE22" s="52" t="str">
        <f t="shared" si="45"/>
        <v>↓0.0146</v>
      </c>
      <c r="AF22" s="52" t="str">
        <f t="shared" si="45"/>
        <v>↓0.0211</v>
      </c>
      <c r="AJ22" s="91">
        <f>F5</f>
        <v>749.4</v>
      </c>
      <c r="AK22" s="91">
        <f t="shared" ref="AK22:AK28" si="46">J5</f>
        <v>749.44</v>
      </c>
      <c r="AL22" s="91">
        <f t="shared" ref="AL22:AL28" si="47">AJ5</f>
        <v>749.44</v>
      </c>
      <c r="AM22" s="91">
        <f t="shared" ref="AM22:AM28" si="48">O5</f>
        <v>749.32</v>
      </c>
      <c r="AN22" s="92">
        <f t="shared" ref="AN22:AN28" si="49">S5</f>
        <v>749.26</v>
      </c>
      <c r="AO22" s="91" t="str">
        <f>_xlfn.CONCAT(ROUND(AN5,2),", ",ROUND(AO5,2))</f>
        <v>2.85, -0.06</v>
      </c>
      <c r="AP22" s="91" t="str">
        <f>_xlfn.CONCAT(ROUND(AK5,2),", ",ROUND(AL5,2))</f>
        <v>8.24, 0.12</v>
      </c>
      <c r="AQ22" s="91" t="str">
        <f>_xlfn.CONCAT(ROUND(AL5,2),", ",ROUND(AM5,2))</f>
        <v>0.12, 749.32</v>
      </c>
      <c r="AR22" s="91" t="str">
        <f>_xlfn.CONCAT(ROUND(AM5,2),", ",ROUND(AN5,2))</f>
        <v>749.32, 2.85</v>
      </c>
      <c r="AS22" s="91" t="str">
        <f>_xlfn.CONCAT(ROUND(AN5,2),", ",ROUND(AO5,2))</f>
        <v>2.85, -0.06</v>
      </c>
      <c r="AT22" s="91" t="str">
        <f>_xlfn.CONCAT(ROUND(AO5,2),", ",ROUND(AP5,2))</f>
        <v>-0.06, 749.26</v>
      </c>
      <c r="AU22" s="91" t="str">
        <f>_xlfn.CONCAT(ROUND(AG5,2),", ",ROUND(AH5,2))</f>
        <v>6.46, 0</v>
      </c>
      <c r="AV22" s="91" t="str">
        <f>_xlfn.CONCAT(ROUND(AD5,2),", ",ROUND(AE5,2))</f>
        <v>7.15, -0.04</v>
      </c>
    </row>
    <row r="23" spans="2:48" ht="15" customHeight="1" x14ac:dyDescent="0.25">
      <c r="AB23" s="74">
        <f t="shared" si="44"/>
        <v>2625</v>
      </c>
      <c r="AC23" s="52" t="str">
        <f t="shared" si="45"/>
        <v>↓0.0013</v>
      </c>
      <c r="AD23" s="52" t="str">
        <f t="shared" si="45"/>
        <v>↓0.0016</v>
      </c>
      <c r="AE23" s="52" t="str">
        <f t="shared" si="45"/>
        <v>↓0.0172</v>
      </c>
      <c r="AF23" s="52" t="str">
        <f t="shared" si="45"/>
        <v>↓0.0245</v>
      </c>
      <c r="AJ23" s="41">
        <f>F6</f>
        <v>750.5</v>
      </c>
      <c r="AK23" s="41">
        <f t="shared" si="46"/>
        <v>750.49</v>
      </c>
      <c r="AL23" s="41">
        <f t="shared" si="47"/>
        <v>750.48</v>
      </c>
      <c r="AM23" s="41">
        <f t="shared" si="48"/>
        <v>750.34</v>
      </c>
      <c r="AN23" s="90">
        <f t="shared" si="49"/>
        <v>750.27</v>
      </c>
      <c r="AO23" s="41" t="str">
        <f>_xlfn.CONCAT(ROUND(AN6,2),", ",ROUND(AO6,2))</f>
        <v>2.86, -0.07</v>
      </c>
      <c r="AP23" s="41" t="str">
        <f>_xlfn.CONCAT(ROUND(AK6,2),", ",ROUND(AL6,2))</f>
        <v>8.14, 0.14</v>
      </c>
      <c r="AU23" s="41" t="str">
        <f>_xlfn.CONCAT(ROUND(AG6,2),", ",ROUND(AH6,2))</f>
        <v>6.43, 0.01</v>
      </c>
      <c r="AV23" s="41" t="str">
        <f>_xlfn.CONCAT(ROUND(AD6,2),", ",ROUND(AE6,2))</f>
        <v>7.46, 0.01</v>
      </c>
    </row>
    <row r="24" spans="2:48" ht="15" customHeight="1" x14ac:dyDescent="0.25">
      <c r="AB24" s="74">
        <f t="shared" si="44"/>
        <v>2650</v>
      </c>
      <c r="AC24" s="52" t="str">
        <f t="shared" ref="AC24:AF28" si="50">_xlfn.CONCAT(IF(AQ7&gt;0,"↓",IF(AQ7=0,"-- ","↑")),ABS(AQ7))</f>
        <v>↓0.0141</v>
      </c>
      <c r="AD24" s="52" t="str">
        <f t="shared" si="50"/>
        <v>↓0.0275</v>
      </c>
      <c r="AE24" s="52" t="str">
        <f t="shared" si="50"/>
        <v>↓0.0092</v>
      </c>
      <c r="AF24" s="52" t="str">
        <f t="shared" si="50"/>
        <v>↓0.013</v>
      </c>
      <c r="AJ24" s="41">
        <f>F7</f>
        <v>751.71</v>
      </c>
      <c r="AK24" s="41">
        <f t="shared" si="46"/>
        <v>751.57</v>
      </c>
      <c r="AL24" s="41">
        <f t="shared" si="47"/>
        <v>751.4</v>
      </c>
      <c r="AM24" s="41">
        <f t="shared" si="48"/>
        <v>751.33</v>
      </c>
      <c r="AN24" s="90">
        <f t="shared" si="49"/>
        <v>751.23</v>
      </c>
      <c r="AO24" s="41" t="str">
        <f>_xlfn.CONCAT(ROUND(AN7,2),", ",ROUND(AO7,2))</f>
        <v>7.7, -0.1</v>
      </c>
      <c r="AP24" s="41" t="str">
        <f>_xlfn.CONCAT(ROUND(AK7,2),", ",ROUND(AL7,2))</f>
        <v>7.64, 0.07</v>
      </c>
      <c r="AU24" s="41" t="str">
        <f>_xlfn.CONCAT(ROUND(AG7,2),", ",ROUND(AH7,2))</f>
        <v>6.17, 0.17</v>
      </c>
      <c r="AV24" s="41" t="str">
        <f>_xlfn.CONCAT(ROUND(AD7,2),", ",ROUND(AE7,2))</f>
        <v>9.9, 0.14</v>
      </c>
    </row>
    <row r="25" spans="2:48" ht="15" customHeight="1" x14ac:dyDescent="0.25">
      <c r="AB25" s="74">
        <f t="shared" si="44"/>
        <v>2675</v>
      </c>
      <c r="AC25" s="52" t="str">
        <f t="shared" si="50"/>
        <v>↑0.0098</v>
      </c>
      <c r="AD25" s="52" t="str">
        <f t="shared" si="50"/>
        <v>↑0.0064</v>
      </c>
      <c r="AE25" s="52" t="str">
        <f t="shared" si="50"/>
        <v>↓0.0457</v>
      </c>
      <c r="AF25" s="52" t="str">
        <f t="shared" si="50"/>
        <v>↓0.0059</v>
      </c>
      <c r="AJ25" s="41">
        <f t="shared" ref="AJ25:AJ28" si="51">F8</f>
        <v>752.51</v>
      </c>
      <c r="AK25" s="41">
        <f t="shared" si="46"/>
        <v>752.59</v>
      </c>
      <c r="AL25" s="41">
        <f t="shared" si="47"/>
        <v>752.64</v>
      </c>
      <c r="AM25" s="41">
        <f t="shared" si="48"/>
        <v>752.33</v>
      </c>
      <c r="AN25" s="90">
        <f t="shared" si="49"/>
        <v>752.28</v>
      </c>
      <c r="AO25" s="41" t="str">
        <f t="shared" ref="AO25:AO28" si="52">_xlfn.CONCAT(ROUND(AN8,2),", ",ROUND(AO8,2))</f>
        <v>8.51, -0.05</v>
      </c>
      <c r="AP25" s="41" t="str">
        <f t="shared" ref="AP25:AP28" si="53">_xlfn.CONCAT(ROUND(AK8,2),", ",ROUND(AL8,2))</f>
        <v>6.79, 0.31</v>
      </c>
      <c r="AU25" s="41" t="str">
        <f t="shared" ref="AU25:AU28" si="54">_xlfn.CONCAT(ROUND(AG8,2),", ",ROUND(AH8,2))</f>
        <v>7.82, -0.05</v>
      </c>
      <c r="AV25" s="41" t="str">
        <f t="shared" ref="AV25:AV28" si="55">_xlfn.CONCAT(ROUND(AD8,2),", ",ROUND(AE8,2))</f>
        <v>8.16, -0.08</v>
      </c>
    </row>
    <row r="26" spans="2:48" ht="15" customHeight="1" x14ac:dyDescent="0.25">
      <c r="AB26" s="74">
        <f t="shared" si="44"/>
        <v>2700</v>
      </c>
      <c r="AC26" s="52" t="str">
        <f t="shared" si="50"/>
        <v>↑0.0178</v>
      </c>
      <c r="AD26" s="52" t="str">
        <f t="shared" si="50"/>
        <v>↑0.0216</v>
      </c>
      <c r="AE26" s="52" t="str">
        <f t="shared" si="50"/>
        <v>↓0.0375</v>
      </c>
      <c r="AF26" s="52" t="str">
        <f t="shared" si="50"/>
        <v>↓0.0032</v>
      </c>
      <c r="AJ26" s="41">
        <f t="shared" si="51"/>
        <v>753.29</v>
      </c>
      <c r="AK26" s="41">
        <f t="shared" si="46"/>
        <v>753.42</v>
      </c>
      <c r="AL26" s="41">
        <f t="shared" si="47"/>
        <v>753.59</v>
      </c>
      <c r="AM26" s="41">
        <f t="shared" si="48"/>
        <v>753.34</v>
      </c>
      <c r="AN26" s="90">
        <f t="shared" si="49"/>
        <v>753.31</v>
      </c>
      <c r="AO26" s="41" t="str">
        <f t="shared" si="52"/>
        <v>9.26, -0.03</v>
      </c>
      <c r="AP26" s="41" t="str">
        <f t="shared" si="53"/>
        <v>6.67, 0.25</v>
      </c>
      <c r="AU26" s="41" t="str">
        <f t="shared" si="54"/>
        <v>7.86, -0.17</v>
      </c>
      <c r="AV26" s="41" t="str">
        <f t="shared" si="55"/>
        <v>7.29, -0.13</v>
      </c>
    </row>
    <row r="27" spans="2:48" ht="15" customHeight="1" x14ac:dyDescent="0.25">
      <c r="AB27" s="74">
        <f t="shared" si="44"/>
        <v>2719</v>
      </c>
      <c r="AC27" s="52" t="str">
        <f t="shared" si="50"/>
        <v>↑0.0245</v>
      </c>
      <c r="AD27" s="52" t="str">
        <f t="shared" si="50"/>
        <v>↑0.0204</v>
      </c>
      <c r="AE27" s="52" t="str">
        <f t="shared" si="50"/>
        <v>↓0.013</v>
      </c>
      <c r="AF27" s="52" t="str">
        <f t="shared" si="50"/>
        <v>↓0.019</v>
      </c>
      <c r="AJ27" s="41">
        <f t="shared" si="51"/>
        <v>753.85</v>
      </c>
      <c r="AK27" s="41">
        <f t="shared" si="46"/>
        <v>754.01</v>
      </c>
      <c r="AL27" s="41">
        <f t="shared" si="47"/>
        <v>754.18</v>
      </c>
      <c r="AM27" s="41">
        <f t="shared" si="48"/>
        <v>754.1</v>
      </c>
      <c r="AN27" s="90">
        <f t="shared" si="49"/>
        <v>753.92</v>
      </c>
      <c r="AO27" s="41" t="str">
        <f t="shared" si="52"/>
        <v>9.45, -0.18</v>
      </c>
      <c r="AP27" s="41" t="str">
        <f t="shared" si="53"/>
        <v>6.14, 0.08</v>
      </c>
      <c r="AU27" s="41" t="str">
        <f t="shared" si="54"/>
        <v>8.34, -0.17</v>
      </c>
      <c r="AV27" s="41" t="str">
        <f t="shared" si="55"/>
        <v>6.54, -0.16</v>
      </c>
    </row>
    <row r="28" spans="2:48" ht="15" customHeight="1" x14ac:dyDescent="0.25">
      <c r="AB28" s="74">
        <f t="shared" si="44"/>
        <v>2725</v>
      </c>
      <c r="AC28" s="52" t="str">
        <f t="shared" si="50"/>
        <v>↑0.025</v>
      </c>
      <c r="AD28" s="52" t="str">
        <f t="shared" si="50"/>
        <v>↑0.0217</v>
      </c>
      <c r="AE28" s="52" t="str">
        <f t="shared" si="50"/>
        <v>↓0.0065</v>
      </c>
      <c r="AF28" s="52" t="str">
        <f t="shared" si="50"/>
        <v>↓0.0242</v>
      </c>
      <c r="AJ28" s="41">
        <f t="shared" si="51"/>
        <v>754.04</v>
      </c>
      <c r="AK28" s="41">
        <f t="shared" si="46"/>
        <v>754.2</v>
      </c>
      <c r="AL28" s="41">
        <f t="shared" si="47"/>
        <v>754.38</v>
      </c>
      <c r="AM28" s="41">
        <f t="shared" si="48"/>
        <v>754.34</v>
      </c>
      <c r="AN28" s="90">
        <f t="shared" si="49"/>
        <v>754.11</v>
      </c>
      <c r="AO28" s="41" t="str">
        <f t="shared" si="52"/>
        <v>9.51, -0.23</v>
      </c>
      <c r="AP28" s="41" t="str">
        <f t="shared" si="53"/>
        <v>6.18, 0.04</v>
      </c>
      <c r="AU28" s="41" t="str">
        <f t="shared" si="54"/>
        <v>8.28, -0.18</v>
      </c>
      <c r="AV28" s="41" t="str">
        <f t="shared" si="55"/>
        <v>6.4, -0.16</v>
      </c>
    </row>
    <row r="29" spans="2:48" ht="15" customHeight="1" x14ac:dyDescent="0.25">
      <c r="AB29" s="74">
        <f t="shared" ref="AB29:AB34" si="56">AB13</f>
        <v>2750</v>
      </c>
      <c r="AC29" s="52" t="str">
        <f t="shared" ref="AC29:AF34" si="57">_xlfn.CONCAT(IF(AQ13&gt;0,"↓",IF(AQ13=0,"-- ","↑")),ABS(AQ13))</f>
        <v>↑0.0123</v>
      </c>
      <c r="AD29" s="52" t="str">
        <f t="shared" si="57"/>
        <v>↑0.0166</v>
      </c>
      <c r="AE29" s="52" t="str">
        <f t="shared" si="57"/>
        <v>↑0.0226</v>
      </c>
      <c r="AF29" s="52" t="str">
        <f t="shared" si="57"/>
        <v>↓0.1158</v>
      </c>
      <c r="AJ29" s="41">
        <f>F13</f>
        <v>755.01</v>
      </c>
      <c r="AK29" s="41">
        <f t="shared" ref="AK29:AK33" si="58">J13</f>
        <v>755.08</v>
      </c>
      <c r="AL29" s="41">
        <f t="shared" ref="AL29:AL34" si="59">AJ13</f>
        <v>755.22</v>
      </c>
      <c r="AM29" s="41">
        <f t="shared" ref="AM29:AM34" si="60">O13</f>
        <v>755.35</v>
      </c>
      <c r="AN29" s="90">
        <f t="shared" ref="AN29:AN34" si="61">S13</f>
        <v>754.22</v>
      </c>
      <c r="AO29" s="41" t="str">
        <f t="shared" ref="AO29:AO33" si="62">_xlfn.CONCAT(ROUND(AN13,2),", ",ROUND(AO13,2))</f>
        <v>9.76, -1.13</v>
      </c>
      <c r="AP29" s="41" t="str">
        <f t="shared" ref="AP29:AP33" si="63">_xlfn.CONCAT(ROUND(AK13,2),", ",ROUND(AL13,2))</f>
        <v>5.76, -0.13</v>
      </c>
      <c r="AU29" s="41" t="str">
        <f t="shared" ref="AU29:AU33" si="64">_xlfn.CONCAT(ROUND(AG13,2),", ",ROUND(AH13,2))</f>
        <v>8.44, -0.14</v>
      </c>
      <c r="AV29" s="41" t="str">
        <f t="shared" ref="AV29:AV33" si="65">_xlfn.CONCAT(ROUND(AD13,2),", ",ROUND(AE13,2))</f>
        <v>5.69, -0.07</v>
      </c>
    </row>
    <row r="30" spans="2:48" ht="15" customHeight="1" x14ac:dyDescent="0.25">
      <c r="AB30" s="74">
        <f t="shared" si="56"/>
        <v>2772.5</v>
      </c>
      <c r="AC30" s="52" t="str">
        <f t="shared" si="57"/>
        <v>↓0.006</v>
      </c>
      <c r="AD30" s="52" t="str">
        <f t="shared" si="57"/>
        <v>↑0.0078</v>
      </c>
      <c r="AE30" s="52" t="str">
        <f t="shared" si="57"/>
        <v>↑0.0408</v>
      </c>
      <c r="AF30" s="52" t="str">
        <f t="shared" si="57"/>
        <v>↓0.049</v>
      </c>
      <c r="AJ30" s="41">
        <f t="shared" ref="AJ30:AJ33" si="66">F14</f>
        <v>755.96</v>
      </c>
      <c r="AK30" s="41">
        <f t="shared" si="58"/>
        <v>755.93</v>
      </c>
      <c r="AL30" s="41">
        <f t="shared" si="59"/>
        <v>755.99</v>
      </c>
      <c r="AM30" s="41">
        <f t="shared" si="60"/>
        <v>756.25</v>
      </c>
      <c r="AN30" s="90">
        <f t="shared" si="61"/>
        <v>755.76</v>
      </c>
      <c r="AO30" s="41" t="str">
        <f t="shared" si="62"/>
        <v>10, -0.49</v>
      </c>
      <c r="AP30" s="41" t="str">
        <f t="shared" si="63"/>
        <v>6.38, -0.26</v>
      </c>
      <c r="AU30" s="41" t="str">
        <f t="shared" si="64"/>
        <v>7.68, -0.06</v>
      </c>
      <c r="AV30" s="41" t="str">
        <f t="shared" si="65"/>
        <v>5.02, 0.03</v>
      </c>
    </row>
    <row r="31" spans="2:48" ht="15" customHeight="1" x14ac:dyDescent="0.25">
      <c r="AB31" s="74">
        <f t="shared" si="56"/>
        <v>2775</v>
      </c>
      <c r="AC31" s="52" t="str">
        <f t="shared" si="57"/>
        <v>↓0.0081</v>
      </c>
      <c r="AD31" s="52" t="str">
        <f t="shared" si="57"/>
        <v>↑0.0079</v>
      </c>
      <c r="AE31" s="52" t="str">
        <f t="shared" si="57"/>
        <v>↑0.042</v>
      </c>
      <c r="AF31" s="52" t="str">
        <f t="shared" si="57"/>
        <v>↓0.0489</v>
      </c>
      <c r="AJ31" s="41">
        <f t="shared" si="66"/>
        <v>756.06</v>
      </c>
      <c r="AK31" s="41">
        <f t="shared" si="58"/>
        <v>756.02</v>
      </c>
      <c r="AL31" s="41">
        <f t="shared" si="59"/>
        <v>756.08</v>
      </c>
      <c r="AM31" s="41">
        <f t="shared" si="60"/>
        <v>756.35</v>
      </c>
      <c r="AN31" s="90">
        <f t="shared" si="61"/>
        <v>755.86</v>
      </c>
      <c r="AO31" s="41" t="str">
        <f t="shared" si="62"/>
        <v>10.03, -0.49</v>
      </c>
      <c r="AP31" s="41" t="str">
        <f t="shared" si="63"/>
        <v>6.43, -0.27</v>
      </c>
      <c r="AU31" s="41" t="str">
        <f t="shared" si="64"/>
        <v>7.6, -0.06</v>
      </c>
      <c r="AV31" s="41" t="str">
        <f t="shared" si="65"/>
        <v>4.95, 0.04</v>
      </c>
    </row>
    <row r="32" spans="2:48" ht="15" customHeight="1" x14ac:dyDescent="0.25">
      <c r="AB32" s="74">
        <f t="shared" si="56"/>
        <v>2800</v>
      </c>
      <c r="AC32" s="52" t="str">
        <f t="shared" si="57"/>
        <v>↓0.0096</v>
      </c>
      <c r="AD32" s="52" t="str">
        <f t="shared" si="57"/>
        <v>↑0.0012</v>
      </c>
      <c r="AE32" s="52" t="str">
        <f t="shared" si="57"/>
        <v>↑0.0346</v>
      </c>
      <c r="AF32" s="52" t="str">
        <f t="shared" si="57"/>
        <v>↓0.0657</v>
      </c>
      <c r="AJ32" s="41">
        <f t="shared" si="66"/>
        <v>757.19</v>
      </c>
      <c r="AK32" s="41">
        <f t="shared" si="58"/>
        <v>757.15</v>
      </c>
      <c r="AL32" s="41">
        <f t="shared" si="59"/>
        <v>757.16</v>
      </c>
      <c r="AM32" s="41">
        <f t="shared" si="60"/>
        <v>757.36</v>
      </c>
      <c r="AN32" s="90">
        <f t="shared" si="61"/>
        <v>756.68</v>
      </c>
      <c r="AO32" s="41" t="str">
        <f t="shared" si="62"/>
        <v>10.35, -0.68</v>
      </c>
      <c r="AP32" s="41" t="str">
        <f t="shared" si="63"/>
        <v>5.78, -0.2</v>
      </c>
      <c r="AU32" s="41" t="str">
        <f t="shared" si="64"/>
        <v>8.13, -0.01</v>
      </c>
      <c r="AV32" s="41" t="str">
        <f t="shared" si="65"/>
        <v>4.18, 0.04</v>
      </c>
    </row>
    <row r="33" spans="28:48" ht="15" customHeight="1" x14ac:dyDescent="0.25">
      <c r="AB33" s="74">
        <f t="shared" si="56"/>
        <v>2825</v>
      </c>
      <c r="AC33" s="52" t="str">
        <f t="shared" si="57"/>
        <v>↑0.0027</v>
      </c>
      <c r="AD33" s="52" t="str">
        <f t="shared" si="57"/>
        <v>↑0.0036</v>
      </c>
      <c r="AE33" s="52" t="str">
        <f t="shared" si="57"/>
        <v>↑0.0073</v>
      </c>
      <c r="AF33" s="52" t="str">
        <f t="shared" si="57"/>
        <v>↓0.0402</v>
      </c>
      <c r="AJ33" s="41">
        <f t="shared" si="66"/>
        <v>758.28</v>
      </c>
      <c r="AK33" s="41">
        <f t="shared" si="58"/>
        <v>758.29</v>
      </c>
      <c r="AL33" s="41">
        <f t="shared" si="59"/>
        <v>758.32</v>
      </c>
      <c r="AM33" s="41">
        <f t="shared" si="60"/>
        <v>758.36</v>
      </c>
      <c r="AN33" s="90">
        <f t="shared" si="61"/>
        <v>757.94</v>
      </c>
      <c r="AO33" s="41" t="str">
        <f t="shared" si="62"/>
        <v>10.46, -0.42</v>
      </c>
      <c r="AP33" s="41" t="str">
        <f t="shared" si="63"/>
        <v>5.48, -0.04</v>
      </c>
      <c r="AU33" s="41" t="str">
        <f t="shared" si="64"/>
        <v>8.26, -0.03</v>
      </c>
      <c r="AV33" s="41" t="str">
        <f t="shared" si="65"/>
        <v>3.76, -0.01</v>
      </c>
    </row>
    <row r="34" spans="28:48" ht="15" customHeight="1" x14ac:dyDescent="0.25">
      <c r="AB34" s="74">
        <f t="shared" si="56"/>
        <v>2850</v>
      </c>
      <c r="AC34" s="52" t="str">
        <f t="shared" si="57"/>
        <v>↑0.0085</v>
      </c>
      <c r="AD34" s="52" t="str">
        <f t="shared" si="57"/>
        <v>↑0.0131</v>
      </c>
      <c r="AE34" s="52" t="str">
        <f t="shared" si="57"/>
        <v>↓0.0202</v>
      </c>
      <c r="AF34" s="52" t="str">
        <f t="shared" si="57"/>
        <v>↓0.0292</v>
      </c>
      <c r="AJ34" s="91">
        <f>F18</f>
        <v>759.34</v>
      </c>
      <c r="AK34" s="91">
        <f>J18</f>
        <v>759.37</v>
      </c>
      <c r="AL34" s="91">
        <f t="shared" si="59"/>
        <v>759.48</v>
      </c>
      <c r="AM34" s="91">
        <f t="shared" si="60"/>
        <v>759.37</v>
      </c>
      <c r="AN34" s="92">
        <f t="shared" si="61"/>
        <v>759.06</v>
      </c>
      <c r="AO34" s="91" t="str">
        <f>_xlfn.CONCAT(ROUND(AN18,2),", ",ROUND(AO18,2))</f>
        <v>10.62, -0.31</v>
      </c>
      <c r="AP34" s="91" t="str">
        <f>_xlfn.CONCAT(ROUND(AK18,2),", ",ROUND(AL18,2))</f>
        <v>5.43, 0.11</v>
      </c>
      <c r="AQ34" s="91"/>
      <c r="AR34" s="91"/>
      <c r="AS34" s="91"/>
      <c r="AT34" s="91"/>
      <c r="AU34" s="91" t="str">
        <f>_xlfn.CONCAT(ROUND(AG18,2),", ",ROUND(AH18,2))</f>
        <v>8.43, -0.11</v>
      </c>
      <c r="AV34" s="91" t="str">
        <f>_xlfn.CONCAT(ROUND(AD18,2),", ",ROUND(AE18,2))</f>
        <v>3.55, -0.03</v>
      </c>
    </row>
  </sheetData>
  <mergeCells count="10">
    <mergeCell ref="AB20:AF20"/>
    <mergeCell ref="F2:T2"/>
    <mergeCell ref="B3:B4"/>
    <mergeCell ref="C3:C4"/>
    <mergeCell ref="D3:D4"/>
    <mergeCell ref="E3:E4"/>
    <mergeCell ref="F3:M3"/>
    <mergeCell ref="N3:N4"/>
    <mergeCell ref="P3:S3"/>
    <mergeCell ref="T3:T4"/>
  </mergeCells>
  <pageMargins left="0.7" right="0.7" top="0.75" bottom="0.75" header="0.3" footer="0.3"/>
  <pageSetup paperSize="1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862D1-173C-43E4-BF8B-4F495DC9B061}">
  <dimension ref="B1:AQ34"/>
  <sheetViews>
    <sheetView topLeftCell="I1" workbookViewId="0">
      <selection activeCell="M18" sqref="M18"/>
    </sheetView>
  </sheetViews>
  <sheetFormatPr defaultRowHeight="15" customHeight="1" x14ac:dyDescent="0.25"/>
  <cols>
    <col min="1" max="5" width="9.140625" style="41"/>
    <col min="6" max="6" width="10.7109375" style="41" customWidth="1"/>
    <col min="7" max="12" width="9.140625" style="41"/>
    <col min="13" max="13" width="11.140625" style="41" bestFit="1" customWidth="1"/>
    <col min="14" max="14" width="9.140625" style="42"/>
    <col min="15" max="15" width="10.7109375" style="41" customWidth="1"/>
    <col min="16" max="18" width="9.140625" style="41"/>
    <col min="19" max="19" width="9.140625" style="41" customWidth="1"/>
    <col min="20" max="20" width="20.7109375" style="43" customWidth="1"/>
    <col min="21" max="27" width="9.140625" style="41" customWidth="1"/>
    <col min="28" max="28" width="9.140625" style="41"/>
    <col min="29" max="29" width="11.42578125" style="41" customWidth="1"/>
    <col min="30" max="30" width="13.140625" style="41" customWidth="1"/>
    <col min="31" max="31" width="13.85546875" style="41" customWidth="1"/>
    <col min="32" max="38" width="9.140625" style="41"/>
    <col min="39" max="39" width="10.28515625" style="41" customWidth="1"/>
    <col min="40" max="40" width="13" style="41" customWidth="1"/>
    <col min="41" max="41" width="11.85546875" style="41" customWidth="1"/>
    <col min="42" max="44" width="11" style="41" customWidth="1"/>
    <col min="45" max="45" width="12.7109375" style="41" customWidth="1"/>
    <col min="46" max="46" width="11.42578125" style="41" customWidth="1"/>
    <col min="47" max="47" width="12.140625" style="41" customWidth="1"/>
    <col min="48" max="48" width="12.85546875" style="41" customWidth="1"/>
    <col min="49" max="16384" width="9.140625" style="41"/>
  </cols>
  <sheetData>
    <row r="1" spans="2:43" ht="15" customHeight="1" thickBot="1" x14ac:dyDescent="0.3"/>
    <row r="2" spans="2:43" ht="30" customHeight="1" thickBot="1" x14ac:dyDescent="0.3">
      <c r="F2" s="187" t="s">
        <v>17</v>
      </c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9"/>
    </row>
    <row r="3" spans="2:43" ht="15" customHeight="1" x14ac:dyDescent="0.25">
      <c r="B3" s="180" t="s">
        <v>21</v>
      </c>
      <c r="C3" s="180" t="s">
        <v>16</v>
      </c>
      <c r="D3" s="180" t="s">
        <v>20</v>
      </c>
      <c r="E3" s="181" t="s">
        <v>22</v>
      </c>
      <c r="F3" s="190" t="s">
        <v>35</v>
      </c>
      <c r="G3" s="191"/>
      <c r="H3" s="191"/>
      <c r="I3" s="191"/>
      <c r="J3" s="191"/>
      <c r="K3" s="191"/>
      <c r="L3" s="191"/>
      <c r="M3" s="191"/>
      <c r="N3" s="192" t="s">
        <v>34</v>
      </c>
      <c r="O3" s="44" t="s">
        <v>27</v>
      </c>
      <c r="P3" s="194" t="s">
        <v>26</v>
      </c>
      <c r="Q3" s="191"/>
      <c r="R3" s="191"/>
      <c r="S3" s="191"/>
      <c r="T3" s="195" t="s">
        <v>24</v>
      </c>
    </row>
    <row r="4" spans="2:43" ht="30" customHeight="1" thickBot="1" x14ac:dyDescent="0.3">
      <c r="B4" s="180"/>
      <c r="C4" s="180"/>
      <c r="D4" s="180"/>
      <c r="E4" s="181"/>
      <c r="F4" s="45" t="s">
        <v>33</v>
      </c>
      <c r="G4" s="46" t="s">
        <v>25</v>
      </c>
      <c r="H4" s="46" t="s">
        <v>30</v>
      </c>
      <c r="I4" s="46" t="s">
        <v>29</v>
      </c>
      <c r="J4" s="47" t="s">
        <v>31</v>
      </c>
      <c r="K4" s="46" t="s">
        <v>25</v>
      </c>
      <c r="L4" s="46" t="s">
        <v>30</v>
      </c>
      <c r="M4" s="47" t="s">
        <v>32</v>
      </c>
      <c r="N4" s="193"/>
      <c r="O4" s="66" t="s">
        <v>28</v>
      </c>
      <c r="P4" s="50" t="s">
        <v>29</v>
      </c>
      <c r="Q4" s="46" t="s">
        <v>30</v>
      </c>
      <c r="R4" s="46" t="s">
        <v>25</v>
      </c>
      <c r="S4" s="47" t="s">
        <v>31</v>
      </c>
      <c r="T4" s="196"/>
      <c r="V4" s="41" t="s">
        <v>39</v>
      </c>
      <c r="W4" s="41" t="s">
        <v>40</v>
      </c>
      <c r="X4" s="41" t="s">
        <v>41</v>
      </c>
      <c r="Y4" s="41" t="s">
        <v>36</v>
      </c>
      <c r="Z4" s="41" t="s">
        <v>37</v>
      </c>
      <c r="AA4" s="41" t="s">
        <v>38</v>
      </c>
      <c r="AB4" s="52" t="s">
        <v>43</v>
      </c>
      <c r="AC4" s="73" t="s">
        <v>45</v>
      </c>
      <c r="AD4" s="73" t="s">
        <v>46</v>
      </c>
      <c r="AE4" s="73" t="s">
        <v>44</v>
      </c>
      <c r="AF4" s="73" t="s">
        <v>47</v>
      </c>
      <c r="AG4" s="73" t="s">
        <v>50</v>
      </c>
      <c r="AH4" s="73" t="s">
        <v>42</v>
      </c>
      <c r="AI4" s="73" t="s">
        <v>48</v>
      </c>
      <c r="AJ4" s="52" t="s">
        <v>27</v>
      </c>
      <c r="AK4" s="73" t="s">
        <v>49</v>
      </c>
      <c r="AL4" s="73" t="s">
        <v>44</v>
      </c>
      <c r="AM4" s="73" t="s">
        <v>51</v>
      </c>
      <c r="AN4" s="73" t="s">
        <v>56</v>
      </c>
      <c r="AO4" s="73" t="s">
        <v>53</v>
      </c>
      <c r="AP4" s="73" t="s">
        <v>54</v>
      </c>
      <c r="AQ4" s="72"/>
    </row>
    <row r="5" spans="2:43" ht="15" customHeight="1" thickBot="1" x14ac:dyDescent="0.3">
      <c r="B5" s="41" t="s">
        <v>19</v>
      </c>
      <c r="C5" s="41" t="s">
        <v>19</v>
      </c>
      <c r="D5" s="41">
        <f>IF('16'' width'!D5="","",'16'' width'!D5)</f>
        <v>749.39499999999998</v>
      </c>
      <c r="E5" s="41">
        <f>IF('16'' width'!E5="","",'16'' width'!E5)</f>
        <v>21.8</v>
      </c>
      <c r="F5" s="83">
        <f>'Ex-LW'!F5</f>
        <v>749.4</v>
      </c>
      <c r="G5" s="84">
        <f>'Ex-LW'!G5</f>
        <v>-4.0000000000077307E-2</v>
      </c>
      <c r="H5" s="84">
        <f>'Ex-LW'!H5</f>
        <v>-5.5999999999999999E-3</v>
      </c>
      <c r="I5" s="84">
        <f>'Ex-LW'!I5</f>
        <v>7.15</v>
      </c>
      <c r="J5" s="84">
        <f>'Ex-LW'!J5</f>
        <v>749.44</v>
      </c>
      <c r="K5" s="84">
        <f>'Ex-LW'!K5</f>
        <v>0.12000000000000455</v>
      </c>
      <c r="L5" s="84">
        <f>'Ex-LW'!L5</f>
        <v>8.2000000000000007E-3</v>
      </c>
      <c r="M5" s="85">
        <f>'Ex-LW'!M5</f>
        <v>14.7</v>
      </c>
      <c r="N5" s="89">
        <f>'Ex-LW'!N5</f>
        <v>2600</v>
      </c>
      <c r="O5" s="85">
        <f>'Ex-LW'!O5</f>
        <v>749.32</v>
      </c>
      <c r="P5" s="83">
        <f>'Ex-LW'!P5</f>
        <v>2.85</v>
      </c>
      <c r="Q5" s="84">
        <f>'Ex-LW'!Q5</f>
        <v>-2.1100000000000001E-2</v>
      </c>
      <c r="R5" s="84">
        <f>'Ex-LW'!R5</f>
        <v>-6.0000000000059117E-2</v>
      </c>
      <c r="S5" s="84">
        <f>'Ex-LW'!S5</f>
        <v>749.26</v>
      </c>
      <c r="T5" s="85" t="str">
        <f>'Ex-LW'!T5</f>
        <v>MATCH EXISTING</v>
      </c>
      <c r="U5" s="70">
        <f>N5</f>
        <v>2600</v>
      </c>
      <c r="V5" s="71" t="str">
        <f t="shared" ref="V5:V11" si="0">_xlfn.CONCAT(I5,", ",ROUND(G5,2))</f>
        <v>7.15, -0.04</v>
      </c>
      <c r="W5" s="71" t="str">
        <f t="shared" ref="W5:W11" si="1">_xlfn.CONCAT(M5,", ",ROUND(K5,2))</f>
        <v>14.7, 0.12</v>
      </c>
      <c r="X5" s="71" t="str">
        <f>_xlfn.CONCAT(P5,", ",ROUND(R5,2))</f>
        <v>2.85, -0.06</v>
      </c>
      <c r="Y5" s="71">
        <f>H5</f>
        <v>-5.5999999999999999E-3</v>
      </c>
      <c r="Z5" s="71">
        <f t="shared" ref="Z5:Z11" si="2">L5</f>
        <v>8.2000000000000007E-3</v>
      </c>
      <c r="AA5" s="71">
        <f t="shared" ref="AA5:AA11" si="3">Q5</f>
        <v>-2.1100000000000001E-2</v>
      </c>
      <c r="AB5" s="74">
        <f>N5</f>
        <v>2600</v>
      </c>
      <c r="AC5" s="52">
        <f>F5</f>
        <v>749.4</v>
      </c>
      <c r="AD5" s="52">
        <f>I5</f>
        <v>7.15</v>
      </c>
      <c r="AE5" s="52">
        <f>J5</f>
        <v>749.44</v>
      </c>
      <c r="AF5" s="52">
        <f t="shared" ref="AF5:AF11" si="4">E5-AD5-AI5</f>
        <v>6.41</v>
      </c>
      <c r="AG5" s="52">
        <v>749.43700000000001</v>
      </c>
      <c r="AH5" s="52">
        <f>ROUND(AG5,2)</f>
        <v>749.44</v>
      </c>
      <c r="AI5" s="52">
        <v>8.24</v>
      </c>
      <c r="AJ5" s="52">
        <f>O5</f>
        <v>749.32</v>
      </c>
      <c r="AK5" s="52">
        <f>P5</f>
        <v>2.85</v>
      </c>
      <c r="AL5" s="75">
        <f t="shared" ref="AL5:AL11" si="5">S5</f>
        <v>749.26</v>
      </c>
      <c r="AM5" s="52">
        <f t="shared" ref="AM5:AM11" si="6">ROUND((AC5-AE5)/AD5,4)</f>
        <v>-5.5999999999999999E-3</v>
      </c>
      <c r="AN5" s="52">
        <f t="shared" ref="AN5:AN11" si="7">ROUND((AE5-AH5)/AF5,4)</f>
        <v>0</v>
      </c>
      <c r="AO5" s="52">
        <f>ROUND((AH5-AJ5)/AI5,4)</f>
        <v>1.46E-2</v>
      </c>
      <c r="AP5" s="52">
        <f>ROUND((AJ5-AL5)/AK5,4)</f>
        <v>2.1100000000000001E-2</v>
      </c>
    </row>
    <row r="6" spans="2:43" ht="15" customHeight="1" thickBot="1" x14ac:dyDescent="0.3">
      <c r="B6" s="41" t="s">
        <v>19</v>
      </c>
      <c r="C6" s="41" t="s">
        <v>19</v>
      </c>
      <c r="D6" s="41">
        <f>IF('16'' width'!D6="","",'16'' width'!D6)</f>
        <v>750.49800000000005</v>
      </c>
      <c r="E6" s="41">
        <f>IF('16'' width'!E6="","",'16'' width'!E6)</f>
        <v>22.027000000000001</v>
      </c>
      <c r="F6" s="51">
        <f t="shared" ref="F6:F17" si="8">IF(D6="","",ROUND(D6,2))</f>
        <v>750.5</v>
      </c>
      <c r="G6" s="52">
        <f t="shared" ref="G6:G11" si="9">F6-J6</f>
        <v>6.9999999999936335E-2</v>
      </c>
      <c r="H6" s="52">
        <f>ROUND(G6/I6,4)</f>
        <v>9.4000000000000004E-3</v>
      </c>
      <c r="I6" s="53">
        <f>IF(E6="","",ROUND(E6,2)-M6)</f>
        <v>7.4300000000000015</v>
      </c>
      <c r="J6" s="52">
        <f t="shared" ref="J6:J11" si="10">O6+K6</f>
        <v>750.43000000000006</v>
      </c>
      <c r="K6" s="52">
        <f>ROUND(L6*M6,2)</f>
        <v>0.11</v>
      </c>
      <c r="L6" s="58">
        <f t="shared" ref="L6:L11" si="11">$L$5+ROUND(($L$18-$L$5)/($N$18-$N$5)*($N6-$N$5),4)</f>
        <v>7.4000000000000003E-3</v>
      </c>
      <c r="M6" s="67">
        <f t="shared" ref="M6:M11" si="12">$M$5+ROUND(($M$18-$M$5)/($N$18-$N$5)*($N6-$N$5),1)</f>
        <v>14.6</v>
      </c>
      <c r="N6" s="60">
        <f t="shared" ref="N6:N17" si="13">N5+25</f>
        <v>2625</v>
      </c>
      <c r="O6" s="61">
        <v>750.32</v>
      </c>
      <c r="P6" s="67">
        <f t="shared" ref="P6:P11" si="14">$P$5+ROUND(($P$18-$P$5)/($N$18-$N$5)*($N6-$N$5),2)</f>
        <v>3.63</v>
      </c>
      <c r="Q6" s="59">
        <v>-0.04</v>
      </c>
      <c r="R6" s="53">
        <f t="shared" ref="R6:R17" si="15">ROUND(P6*Q6,2)</f>
        <v>-0.15</v>
      </c>
      <c r="S6" s="68">
        <f t="shared" ref="S6:S17" si="16">O6+R6</f>
        <v>750.17000000000007</v>
      </c>
      <c r="T6" s="62"/>
      <c r="U6" s="70">
        <f t="shared" ref="U6:U18" si="17">N6</f>
        <v>2625</v>
      </c>
      <c r="V6" s="71" t="str">
        <f t="shared" si="0"/>
        <v>7.43, 0.07</v>
      </c>
      <c r="W6" s="71" t="str">
        <f t="shared" si="1"/>
        <v>14.6, 0.11</v>
      </c>
      <c r="X6" s="71" t="str">
        <f t="shared" ref="X6:X18" si="18">_xlfn.CONCAT(P6,", ",ROUND(R6,2))</f>
        <v>3.63, -0.15</v>
      </c>
      <c r="Y6" s="71">
        <f t="shared" ref="Y6:Y18" si="19">H6</f>
        <v>9.4000000000000004E-3</v>
      </c>
      <c r="Z6" s="71">
        <f t="shared" si="2"/>
        <v>7.4000000000000003E-3</v>
      </c>
      <c r="AA6" s="71">
        <f t="shared" si="3"/>
        <v>-0.04</v>
      </c>
      <c r="AB6" s="74">
        <f t="shared" ref="AB6:AB17" si="20">N6</f>
        <v>2625</v>
      </c>
      <c r="AC6" s="52">
        <f t="shared" ref="AC6:AC18" si="21">F6</f>
        <v>750.5</v>
      </c>
      <c r="AD6" s="52">
        <f t="shared" ref="AD6:AE18" si="22">I6</f>
        <v>7.4300000000000015</v>
      </c>
      <c r="AE6" s="52">
        <f t="shared" si="22"/>
        <v>750.43000000000006</v>
      </c>
      <c r="AF6" s="52">
        <f t="shared" si="4"/>
        <v>6.4589999999999996</v>
      </c>
      <c r="AG6" s="52">
        <v>750.47900000000004</v>
      </c>
      <c r="AH6" s="52">
        <f t="shared" ref="AH6:AH18" si="23">ROUND(AG6,2)</f>
        <v>750.48</v>
      </c>
      <c r="AI6" s="52">
        <v>8.1379999999999999</v>
      </c>
      <c r="AJ6" s="52">
        <f>O6</f>
        <v>750.32</v>
      </c>
      <c r="AK6" s="52">
        <f>P6</f>
        <v>3.63</v>
      </c>
      <c r="AL6" s="75">
        <f t="shared" si="5"/>
        <v>750.17000000000007</v>
      </c>
      <c r="AM6" s="52">
        <f t="shared" si="6"/>
        <v>9.4000000000000004E-3</v>
      </c>
      <c r="AN6" s="52">
        <f t="shared" si="7"/>
        <v>-7.7000000000000002E-3</v>
      </c>
      <c r="AO6" s="52">
        <f>ROUND((AH6-AJ6)/AI6,4)</f>
        <v>1.9699999999999999E-2</v>
      </c>
      <c r="AP6" s="52">
        <f t="shared" ref="AP6:AP18" si="24">ROUND((AJ6-AL6)/AK6,4)</f>
        <v>4.1300000000000003E-2</v>
      </c>
    </row>
    <row r="7" spans="2:43" ht="15" customHeight="1" thickBot="1" x14ac:dyDescent="0.3">
      <c r="B7" s="41" t="s">
        <v>19</v>
      </c>
      <c r="C7" s="41" t="s">
        <v>19</v>
      </c>
      <c r="D7" s="41">
        <f>IF('16'' width'!D8="","",'16'' width'!D8)</f>
        <v>751.70600000000002</v>
      </c>
      <c r="E7" s="41">
        <f>IF('16'' width'!E8="","",'16'' width'!E8)</f>
        <v>23.713999999999999</v>
      </c>
      <c r="F7" s="51">
        <f t="shared" si="8"/>
        <v>751.71</v>
      </c>
      <c r="G7" s="52">
        <f t="shared" si="9"/>
        <v>0.27999999999997272</v>
      </c>
      <c r="H7" s="52">
        <f t="shared" ref="H7:H17" si="25">ROUND(G7/I7,4)</f>
        <v>3.04E-2</v>
      </c>
      <c r="I7" s="53">
        <f t="shared" ref="I7:I17" si="26">IF(E7="","",ROUND(E7,2)-M7)</f>
        <v>9.2100000000000009</v>
      </c>
      <c r="J7" s="52">
        <f t="shared" si="10"/>
        <v>751.43000000000006</v>
      </c>
      <c r="K7" s="52">
        <f t="shared" ref="K7:K17" si="27">ROUND(L7*M7,2)</f>
        <v>0.1</v>
      </c>
      <c r="L7" s="58">
        <f t="shared" si="11"/>
        <v>6.6000000000000008E-3</v>
      </c>
      <c r="M7" s="67">
        <f t="shared" si="12"/>
        <v>14.5</v>
      </c>
      <c r="N7" s="60">
        <f>N6+25</f>
        <v>2650</v>
      </c>
      <c r="O7" s="61">
        <v>751.33</v>
      </c>
      <c r="P7" s="67">
        <f t="shared" si="14"/>
        <v>4.4000000000000004</v>
      </c>
      <c r="Q7" s="59">
        <v>-0.04</v>
      </c>
      <c r="R7" s="53">
        <f t="shared" si="15"/>
        <v>-0.18</v>
      </c>
      <c r="S7" s="68">
        <f t="shared" si="16"/>
        <v>751.15000000000009</v>
      </c>
      <c r="T7" s="62"/>
      <c r="U7" s="70">
        <f t="shared" si="17"/>
        <v>2650</v>
      </c>
      <c r="V7" s="71" t="str">
        <f t="shared" si="0"/>
        <v>9.21, 0.28</v>
      </c>
      <c r="W7" s="71" t="str">
        <f t="shared" si="1"/>
        <v>14.5, 0.1</v>
      </c>
      <c r="X7" s="71" t="str">
        <f t="shared" si="18"/>
        <v>4.4, -0.18</v>
      </c>
      <c r="Y7" s="71">
        <f t="shared" si="19"/>
        <v>3.04E-2</v>
      </c>
      <c r="Z7" s="71">
        <f t="shared" si="2"/>
        <v>6.6000000000000008E-3</v>
      </c>
      <c r="AA7" s="71">
        <f t="shared" si="3"/>
        <v>-0.04</v>
      </c>
      <c r="AB7" s="74">
        <f t="shared" si="20"/>
        <v>2650</v>
      </c>
      <c r="AC7" s="52">
        <f t="shared" si="21"/>
        <v>751.71</v>
      </c>
      <c r="AD7" s="52">
        <f t="shared" si="22"/>
        <v>9.2100000000000009</v>
      </c>
      <c r="AE7" s="52">
        <f t="shared" si="22"/>
        <v>751.43000000000006</v>
      </c>
      <c r="AF7" s="52">
        <f t="shared" si="4"/>
        <v>6.8629999999999978</v>
      </c>
      <c r="AG7" s="52">
        <v>751.39499999999998</v>
      </c>
      <c r="AH7" s="52">
        <f t="shared" si="23"/>
        <v>751.4</v>
      </c>
      <c r="AI7" s="52">
        <v>7.641</v>
      </c>
      <c r="AJ7" s="52">
        <f t="shared" ref="AJ7:AK11" si="28">O7</f>
        <v>751.33</v>
      </c>
      <c r="AK7" s="52">
        <f t="shared" si="28"/>
        <v>4.4000000000000004</v>
      </c>
      <c r="AL7" s="75">
        <f t="shared" si="5"/>
        <v>751.15000000000009</v>
      </c>
      <c r="AM7" s="52">
        <f t="shared" si="6"/>
        <v>3.04E-2</v>
      </c>
      <c r="AN7" s="52">
        <f t="shared" si="7"/>
        <v>4.4000000000000003E-3</v>
      </c>
      <c r="AO7" s="52">
        <f t="shared" ref="AO7:AO18" si="29">ROUND((AH7-AJ7)/AI7,4)</f>
        <v>9.1999999999999998E-3</v>
      </c>
      <c r="AP7" s="52">
        <f t="shared" si="24"/>
        <v>4.0899999999999999E-2</v>
      </c>
    </row>
    <row r="8" spans="2:43" ht="15" customHeight="1" thickBot="1" x14ac:dyDescent="0.3">
      <c r="B8" s="41">
        <v>7.89</v>
      </c>
      <c r="C8" s="41">
        <v>2</v>
      </c>
      <c r="D8" s="41">
        <f>IF('16'' width'!D9="","",'16'' width'!D9)</f>
        <v>752.51199999999994</v>
      </c>
      <c r="E8" s="41">
        <f>IF('16'' width'!E9="","",'16'' width'!E9)</f>
        <v>22.763999999999999</v>
      </c>
      <c r="F8" s="51">
        <f t="shared" si="8"/>
        <v>752.51</v>
      </c>
      <c r="G8" s="52">
        <f t="shared" si="9"/>
        <v>8.9999999999918145E-2</v>
      </c>
      <c r="H8" s="52">
        <f t="shared" si="25"/>
        <v>1.0800000000000001E-2</v>
      </c>
      <c r="I8" s="53">
        <f>IF(E8="","",ROUND(E8,2)-M8)</f>
        <v>8.360000000000003</v>
      </c>
      <c r="J8" s="52">
        <f t="shared" si="10"/>
        <v>752.42000000000007</v>
      </c>
      <c r="K8" s="52">
        <f t="shared" si="27"/>
        <v>0.08</v>
      </c>
      <c r="L8" s="58">
        <f t="shared" si="11"/>
        <v>5.7000000000000002E-3</v>
      </c>
      <c r="M8" s="67">
        <f t="shared" si="12"/>
        <v>14.399999999999999</v>
      </c>
      <c r="N8" s="60">
        <f t="shared" si="13"/>
        <v>2675</v>
      </c>
      <c r="O8" s="61">
        <v>752.34</v>
      </c>
      <c r="P8" s="67">
        <f t="shared" si="14"/>
        <v>5.18</v>
      </c>
      <c r="Q8" s="59">
        <v>-0.04</v>
      </c>
      <c r="R8" s="53">
        <f t="shared" si="15"/>
        <v>-0.21</v>
      </c>
      <c r="S8" s="68">
        <f t="shared" si="16"/>
        <v>752.13</v>
      </c>
      <c r="T8" s="62"/>
      <c r="U8" s="70">
        <f t="shared" si="17"/>
        <v>2675</v>
      </c>
      <c r="V8" s="71" t="str">
        <f t="shared" si="0"/>
        <v>8.36, 0.09</v>
      </c>
      <c r="W8" s="71" t="str">
        <f t="shared" si="1"/>
        <v>14.4, 0.08</v>
      </c>
      <c r="X8" s="71" t="str">
        <f t="shared" si="18"/>
        <v>5.18, -0.21</v>
      </c>
      <c r="Y8" s="71">
        <f t="shared" si="19"/>
        <v>1.0800000000000001E-2</v>
      </c>
      <c r="Z8" s="71">
        <f t="shared" si="2"/>
        <v>5.7000000000000002E-3</v>
      </c>
      <c r="AA8" s="71">
        <f t="shared" si="3"/>
        <v>-0.04</v>
      </c>
      <c r="AB8" s="74">
        <f t="shared" si="20"/>
        <v>2675</v>
      </c>
      <c r="AC8" s="52">
        <f t="shared" si="21"/>
        <v>752.51</v>
      </c>
      <c r="AD8" s="52">
        <f t="shared" si="22"/>
        <v>8.360000000000003</v>
      </c>
      <c r="AE8" s="52">
        <f t="shared" si="22"/>
        <v>752.42000000000007</v>
      </c>
      <c r="AF8" s="52">
        <f t="shared" si="4"/>
        <v>7.6179999999999968</v>
      </c>
      <c r="AG8" s="52">
        <v>752.63599999999997</v>
      </c>
      <c r="AH8" s="52">
        <f t="shared" si="23"/>
        <v>752.64</v>
      </c>
      <c r="AI8" s="52">
        <v>6.7859999999999996</v>
      </c>
      <c r="AJ8" s="52">
        <f t="shared" si="28"/>
        <v>752.34</v>
      </c>
      <c r="AK8" s="52">
        <f t="shared" si="28"/>
        <v>5.18</v>
      </c>
      <c r="AL8" s="75">
        <f t="shared" si="5"/>
        <v>752.13</v>
      </c>
      <c r="AM8" s="52">
        <f t="shared" si="6"/>
        <v>1.0800000000000001E-2</v>
      </c>
      <c r="AN8" s="52">
        <f t="shared" si="7"/>
        <v>-2.8899999999999999E-2</v>
      </c>
      <c r="AO8" s="52">
        <f t="shared" si="29"/>
        <v>4.4200000000000003E-2</v>
      </c>
      <c r="AP8" s="52">
        <f t="shared" si="24"/>
        <v>4.0500000000000001E-2</v>
      </c>
    </row>
    <row r="9" spans="2:43" ht="15" customHeight="1" thickBot="1" x14ac:dyDescent="0.3">
      <c r="B9" s="41">
        <v>7.1319999999999997</v>
      </c>
      <c r="C9" s="41">
        <v>2</v>
      </c>
      <c r="D9" s="41">
        <f>IF('16'' width'!D10="","",'16'' width'!D10)</f>
        <v>753.28499999999997</v>
      </c>
      <c r="E9" s="41">
        <f>IF('16'' width'!E10="","",'16'' width'!E10)</f>
        <v>21.818000000000001</v>
      </c>
      <c r="F9" s="51">
        <f t="shared" si="8"/>
        <v>753.29</v>
      </c>
      <c r="G9" s="52">
        <f t="shared" si="9"/>
        <v>-0.12000000000011823</v>
      </c>
      <c r="H9" s="52">
        <f t="shared" si="25"/>
        <v>-1.6199999999999999E-2</v>
      </c>
      <c r="I9" s="53">
        <f t="shared" si="26"/>
        <v>7.4200000000000017</v>
      </c>
      <c r="J9" s="52">
        <f t="shared" si="10"/>
        <v>753.41000000000008</v>
      </c>
      <c r="K9" s="52">
        <f t="shared" si="27"/>
        <v>7.0000000000000007E-2</v>
      </c>
      <c r="L9" s="58">
        <f t="shared" si="11"/>
        <v>4.9000000000000007E-3</v>
      </c>
      <c r="M9" s="67">
        <f t="shared" si="12"/>
        <v>14.399999999999999</v>
      </c>
      <c r="N9" s="60">
        <f t="shared" si="13"/>
        <v>2700</v>
      </c>
      <c r="O9" s="61">
        <v>753.34</v>
      </c>
      <c r="P9" s="67">
        <f t="shared" si="14"/>
        <v>5.96</v>
      </c>
      <c r="Q9" s="59">
        <v>-0.04</v>
      </c>
      <c r="R9" s="53">
        <f t="shared" si="15"/>
        <v>-0.24</v>
      </c>
      <c r="S9" s="68">
        <f t="shared" si="16"/>
        <v>753.1</v>
      </c>
      <c r="T9" s="62"/>
      <c r="U9" s="70">
        <f t="shared" si="17"/>
        <v>2700</v>
      </c>
      <c r="V9" s="71" t="str">
        <f t="shared" si="0"/>
        <v>7.42, -0.12</v>
      </c>
      <c r="W9" s="71" t="str">
        <f t="shared" si="1"/>
        <v>14.4, 0.07</v>
      </c>
      <c r="X9" s="71" t="str">
        <f t="shared" si="18"/>
        <v>5.96, -0.24</v>
      </c>
      <c r="Y9" s="71">
        <f t="shared" si="19"/>
        <v>-1.6199999999999999E-2</v>
      </c>
      <c r="Z9" s="71">
        <f t="shared" si="2"/>
        <v>4.9000000000000007E-3</v>
      </c>
      <c r="AA9" s="71">
        <f t="shared" si="3"/>
        <v>-0.04</v>
      </c>
      <c r="AB9" s="74">
        <f t="shared" si="20"/>
        <v>2700</v>
      </c>
      <c r="AC9" s="52">
        <f t="shared" si="21"/>
        <v>753.29</v>
      </c>
      <c r="AD9" s="52">
        <f t="shared" si="22"/>
        <v>7.4200000000000017</v>
      </c>
      <c r="AE9" s="52">
        <f t="shared" si="22"/>
        <v>753.41000000000008</v>
      </c>
      <c r="AF9" s="52">
        <f t="shared" si="4"/>
        <v>7.7279999999999998</v>
      </c>
      <c r="AG9" s="52">
        <v>753.59199999999998</v>
      </c>
      <c r="AH9" s="52">
        <f t="shared" si="23"/>
        <v>753.59</v>
      </c>
      <c r="AI9" s="52">
        <v>6.67</v>
      </c>
      <c r="AJ9" s="52">
        <f t="shared" si="28"/>
        <v>753.34</v>
      </c>
      <c r="AK9" s="52">
        <f t="shared" si="28"/>
        <v>5.96</v>
      </c>
      <c r="AL9" s="75">
        <f t="shared" si="5"/>
        <v>753.1</v>
      </c>
      <c r="AM9" s="52">
        <f t="shared" si="6"/>
        <v>-1.6199999999999999E-2</v>
      </c>
      <c r="AN9" s="52">
        <f t="shared" si="7"/>
        <v>-2.3300000000000001E-2</v>
      </c>
      <c r="AO9" s="52">
        <f t="shared" si="29"/>
        <v>3.7499999999999999E-2</v>
      </c>
      <c r="AP9" s="52">
        <f t="shared" si="24"/>
        <v>4.0300000000000002E-2</v>
      </c>
    </row>
    <row r="10" spans="2:43" ht="15" customHeight="1" thickBot="1" x14ac:dyDescent="0.3">
      <c r="B10" s="41">
        <v>6.5339999999999998</v>
      </c>
      <c r="C10" s="41">
        <v>2</v>
      </c>
      <c r="D10" s="41">
        <f>IF('16'' width'!D11="","",'16'' width'!D11)</f>
        <v>753.851</v>
      </c>
      <c r="E10" s="41">
        <f>IF('16'' width'!E11="","",'16'' width'!E11)</f>
        <v>21.02</v>
      </c>
      <c r="F10" s="51">
        <f t="shared" si="8"/>
        <v>753.85</v>
      </c>
      <c r="G10" s="52">
        <f t="shared" si="9"/>
        <v>-0.35999999999989996</v>
      </c>
      <c r="H10" s="52">
        <f t="shared" si="25"/>
        <v>-5.3600000000000002E-2</v>
      </c>
      <c r="I10" s="53">
        <f t="shared" si="26"/>
        <v>6.7200000000000006</v>
      </c>
      <c r="J10" s="52">
        <f t="shared" si="10"/>
        <v>754.20999999999992</v>
      </c>
      <c r="K10" s="52">
        <f>ROUND(L10*M10,2)</f>
        <v>0.06</v>
      </c>
      <c r="L10" s="58">
        <f t="shared" si="11"/>
        <v>4.3000000000000009E-3</v>
      </c>
      <c r="M10" s="67">
        <f t="shared" si="12"/>
        <v>14.299999999999999</v>
      </c>
      <c r="N10" s="60">
        <v>2719</v>
      </c>
      <c r="O10" s="61">
        <v>754.15</v>
      </c>
      <c r="P10" s="67">
        <f t="shared" si="14"/>
        <v>6.5500000000000007</v>
      </c>
      <c r="Q10" s="59">
        <v>-0.04</v>
      </c>
      <c r="R10" s="53">
        <f t="shared" si="15"/>
        <v>-0.26</v>
      </c>
      <c r="S10" s="68">
        <f t="shared" si="16"/>
        <v>753.89</v>
      </c>
      <c r="T10" s="62" t="s">
        <v>18</v>
      </c>
      <c r="U10" s="70">
        <f t="shared" si="17"/>
        <v>2719</v>
      </c>
      <c r="V10" s="71" t="str">
        <f t="shared" si="0"/>
        <v>6.72, -0.36</v>
      </c>
      <c r="W10" s="71" t="str">
        <f t="shared" si="1"/>
        <v>14.3, 0.06</v>
      </c>
      <c r="X10" s="71" t="str">
        <f t="shared" si="18"/>
        <v>6.55, -0.26</v>
      </c>
      <c r="Y10" s="71">
        <f t="shared" si="19"/>
        <v>-5.3600000000000002E-2</v>
      </c>
      <c r="Z10" s="71">
        <f t="shared" si="2"/>
        <v>4.3000000000000009E-3</v>
      </c>
      <c r="AA10" s="71">
        <f t="shared" si="3"/>
        <v>-0.04</v>
      </c>
      <c r="AB10" s="74">
        <f t="shared" si="20"/>
        <v>2719</v>
      </c>
      <c r="AC10" s="52">
        <f t="shared" si="21"/>
        <v>753.85</v>
      </c>
      <c r="AD10" s="52">
        <f t="shared" si="22"/>
        <v>6.7200000000000006</v>
      </c>
      <c r="AE10" s="52">
        <f t="shared" si="22"/>
        <v>754.20999999999992</v>
      </c>
      <c r="AF10" s="52">
        <f t="shared" si="4"/>
        <v>8.1589999999999989</v>
      </c>
      <c r="AG10" s="52">
        <v>754.17700000000002</v>
      </c>
      <c r="AH10" s="52">
        <f t="shared" si="23"/>
        <v>754.18</v>
      </c>
      <c r="AI10" s="52">
        <v>6.141</v>
      </c>
      <c r="AJ10" s="52">
        <f t="shared" si="28"/>
        <v>754.15</v>
      </c>
      <c r="AK10" s="52">
        <f t="shared" si="28"/>
        <v>6.5500000000000007</v>
      </c>
      <c r="AL10" s="75">
        <f t="shared" si="5"/>
        <v>753.89</v>
      </c>
      <c r="AM10" s="52">
        <f t="shared" si="6"/>
        <v>-5.3600000000000002E-2</v>
      </c>
      <c r="AN10" s="52">
        <f t="shared" si="7"/>
        <v>3.7000000000000002E-3</v>
      </c>
      <c r="AO10" s="52">
        <f t="shared" si="29"/>
        <v>4.8999999999999998E-3</v>
      </c>
      <c r="AP10" s="52">
        <f t="shared" si="24"/>
        <v>3.9699999999999999E-2</v>
      </c>
    </row>
    <row r="11" spans="2:43" ht="15" customHeight="1" thickBot="1" x14ac:dyDescent="0.3">
      <c r="B11" s="41">
        <v>6.2960000000000003</v>
      </c>
      <c r="C11" s="41">
        <v>2</v>
      </c>
      <c r="D11" s="41">
        <f>IF('16'' width'!D12="","",'16'' width'!D12)</f>
        <v>754.04399999999998</v>
      </c>
      <c r="E11" s="41">
        <f>IF('16'' width'!E12="","",'16'' width'!E12)</f>
        <v>20.858000000000001</v>
      </c>
      <c r="F11" s="51">
        <f t="shared" si="8"/>
        <v>754.04</v>
      </c>
      <c r="G11" s="52">
        <f t="shared" si="9"/>
        <v>-0.37000000000000455</v>
      </c>
      <c r="H11" s="52">
        <f t="shared" si="25"/>
        <v>-5.6399999999999999E-2</v>
      </c>
      <c r="I11" s="53">
        <f>IF(E11="","",ROUND(E11,2)-M11)</f>
        <v>6.5600000000000005</v>
      </c>
      <c r="J11" s="52">
        <f t="shared" si="10"/>
        <v>754.41</v>
      </c>
      <c r="K11" s="52">
        <f t="shared" si="27"/>
        <v>0.06</v>
      </c>
      <c r="L11" s="58">
        <f t="shared" si="11"/>
        <v>4.1000000000000003E-3</v>
      </c>
      <c r="M11" s="67">
        <f t="shared" si="12"/>
        <v>14.299999999999999</v>
      </c>
      <c r="N11" s="60">
        <f>N9+25</f>
        <v>2725</v>
      </c>
      <c r="O11" s="61">
        <v>754.35</v>
      </c>
      <c r="P11" s="67">
        <f t="shared" si="14"/>
        <v>6.74</v>
      </c>
      <c r="Q11" s="59">
        <v>-0.04</v>
      </c>
      <c r="R11" s="53">
        <f t="shared" si="15"/>
        <v>-0.27</v>
      </c>
      <c r="S11" s="68">
        <f t="shared" si="16"/>
        <v>754.08</v>
      </c>
      <c r="T11" s="62"/>
      <c r="U11" s="70">
        <f t="shared" si="17"/>
        <v>2725</v>
      </c>
      <c r="V11" s="71" t="str">
        <f t="shared" si="0"/>
        <v>6.56, -0.37</v>
      </c>
      <c r="W11" s="71" t="str">
        <f t="shared" si="1"/>
        <v>14.3, 0.06</v>
      </c>
      <c r="X11" s="71" t="str">
        <f t="shared" si="18"/>
        <v>6.74, -0.27</v>
      </c>
      <c r="Y11" s="71">
        <f t="shared" si="19"/>
        <v>-5.6399999999999999E-2</v>
      </c>
      <c r="Z11" s="71">
        <f t="shared" si="2"/>
        <v>4.1000000000000003E-3</v>
      </c>
      <c r="AA11" s="71">
        <f t="shared" si="3"/>
        <v>-0.04</v>
      </c>
      <c r="AB11" s="74">
        <f t="shared" si="20"/>
        <v>2725</v>
      </c>
      <c r="AC11" s="52">
        <f t="shared" si="21"/>
        <v>754.04</v>
      </c>
      <c r="AD11" s="52">
        <f t="shared" si="22"/>
        <v>6.5600000000000005</v>
      </c>
      <c r="AE11" s="52">
        <f t="shared" si="22"/>
        <v>754.41</v>
      </c>
      <c r="AF11" s="52">
        <f t="shared" si="4"/>
        <v>8.1219999999999999</v>
      </c>
      <c r="AG11" s="52">
        <v>754.37900000000002</v>
      </c>
      <c r="AH11" s="52">
        <f t="shared" si="23"/>
        <v>754.38</v>
      </c>
      <c r="AI11" s="52">
        <v>6.1760000000000002</v>
      </c>
      <c r="AJ11" s="52">
        <f t="shared" si="28"/>
        <v>754.35</v>
      </c>
      <c r="AK11" s="52">
        <f t="shared" si="28"/>
        <v>6.74</v>
      </c>
      <c r="AL11" s="75">
        <f t="shared" si="5"/>
        <v>754.08</v>
      </c>
      <c r="AM11" s="52">
        <f t="shared" si="6"/>
        <v>-5.6399999999999999E-2</v>
      </c>
      <c r="AN11" s="52">
        <f t="shared" si="7"/>
        <v>3.7000000000000002E-3</v>
      </c>
      <c r="AO11" s="52">
        <f t="shared" si="29"/>
        <v>4.8999999999999998E-3</v>
      </c>
      <c r="AP11" s="52">
        <f t="shared" si="24"/>
        <v>4.0099999999999997E-2</v>
      </c>
    </row>
    <row r="12" spans="2:43" ht="15" customHeight="1" thickBot="1" x14ac:dyDescent="0.3">
      <c r="D12" s="41" t="str">
        <f>IF('16'' width'!D13="","",'16'' width'!D13)</f>
        <v/>
      </c>
      <c r="E12" s="41" t="str">
        <f>IF('16'' width'!E13="","",'16'' width'!E13)</f>
        <v/>
      </c>
      <c r="F12" s="51" t="str">
        <f t="shared" si="8"/>
        <v/>
      </c>
      <c r="G12" s="52"/>
      <c r="H12" s="52"/>
      <c r="I12" s="53" t="str">
        <f>IF(E12="","",ROUND(E12,2)-M12)</f>
        <v/>
      </c>
      <c r="J12" s="52"/>
      <c r="K12" s="52"/>
      <c r="L12" s="58"/>
      <c r="M12" s="67"/>
      <c r="N12" s="60">
        <v>2749.21</v>
      </c>
      <c r="O12" s="61"/>
      <c r="P12" s="67"/>
      <c r="Q12" s="52"/>
      <c r="R12" s="53"/>
      <c r="S12" s="68"/>
      <c r="T12" s="62" t="s">
        <v>23</v>
      </c>
      <c r="U12" s="70"/>
      <c r="V12" s="71"/>
      <c r="W12" s="71"/>
      <c r="X12" s="71"/>
      <c r="Y12" s="71"/>
      <c r="Z12" s="71"/>
      <c r="AA12" s="71"/>
      <c r="AB12" s="74"/>
      <c r="AC12" s="52" t="str">
        <f t="shared" si="21"/>
        <v/>
      </c>
      <c r="AD12" s="52" t="str">
        <f t="shared" si="22"/>
        <v/>
      </c>
      <c r="AE12" s="52"/>
      <c r="AF12" s="52"/>
      <c r="AG12" s="52"/>
      <c r="AH12" s="52"/>
      <c r="AI12" s="52"/>
      <c r="AJ12" s="52"/>
      <c r="AK12" s="52"/>
      <c r="AL12" s="75"/>
      <c r="AM12" s="52"/>
      <c r="AN12" s="52"/>
      <c r="AO12" s="52"/>
      <c r="AP12" s="52"/>
    </row>
    <row r="13" spans="2:43" ht="15" customHeight="1" thickBot="1" x14ac:dyDescent="0.3">
      <c r="B13" s="41">
        <v>5.5129999999999999</v>
      </c>
      <c r="C13" s="41">
        <v>2</v>
      </c>
      <c r="D13" s="41">
        <f>IF('16'' width'!D14="","",'16'' width'!D14)</f>
        <v>755.01400000000001</v>
      </c>
      <c r="E13" s="41">
        <f>IF('16'' width'!E14="","",'16'' width'!E14)</f>
        <v>19.89</v>
      </c>
      <c r="F13" s="51">
        <f t="shared" si="8"/>
        <v>755.01</v>
      </c>
      <c r="G13" s="52">
        <f t="shared" ref="G13:G17" si="30">F13-J13</f>
        <v>-0.39999999999997726</v>
      </c>
      <c r="H13" s="52">
        <f t="shared" si="25"/>
        <v>-7.0300000000000001E-2</v>
      </c>
      <c r="I13" s="53">
        <f t="shared" si="26"/>
        <v>5.6900000000000013</v>
      </c>
      <c r="J13" s="52">
        <f>O13+K13</f>
        <v>755.41</v>
      </c>
      <c r="K13" s="52">
        <f t="shared" si="27"/>
        <v>0.05</v>
      </c>
      <c r="L13" s="58">
        <f>$L$5+ROUND(($L$18-$L$5)/($N$18-$N$5)*($N13-$N$5),4)</f>
        <v>3.3000000000000008E-3</v>
      </c>
      <c r="M13" s="67">
        <f>$M$5+ROUND(($M$18-$M$5)/($N$18-$N$5)*($N13-$N$5),1)</f>
        <v>14.2</v>
      </c>
      <c r="N13" s="60">
        <f>N11+25</f>
        <v>2750</v>
      </c>
      <c r="O13" s="61">
        <v>755.36</v>
      </c>
      <c r="P13" s="67">
        <f>$P$5+ROUND(($P$18-$P$5)/($N$18-$N$5)*($N13-$N$5),2)</f>
        <v>7.51</v>
      </c>
      <c r="Q13" s="59">
        <v>-0.04</v>
      </c>
      <c r="R13" s="53">
        <f t="shared" si="15"/>
        <v>-0.3</v>
      </c>
      <c r="S13" s="68">
        <f t="shared" si="16"/>
        <v>755.06000000000006</v>
      </c>
      <c r="T13" s="62"/>
      <c r="U13" s="70">
        <f t="shared" si="17"/>
        <v>2750</v>
      </c>
      <c r="V13" s="71" t="str">
        <f t="shared" ref="V13:V18" si="31">_xlfn.CONCAT(I13,", ",ROUND(G13,2))</f>
        <v>5.69, -0.4</v>
      </c>
      <c r="W13" s="71" t="str">
        <f t="shared" ref="W13:W18" si="32">_xlfn.CONCAT(M13,", ",ROUND(K13,2))</f>
        <v>14.2, 0.05</v>
      </c>
      <c r="X13" s="71" t="str">
        <f t="shared" si="18"/>
        <v>7.51, -0.3</v>
      </c>
      <c r="Y13" s="71">
        <f>H13</f>
        <v>-7.0300000000000001E-2</v>
      </c>
      <c r="Z13" s="71">
        <f t="shared" ref="Z13:Z18" si="33">L13</f>
        <v>3.3000000000000008E-3</v>
      </c>
      <c r="AA13" s="71">
        <f t="shared" ref="AA13:AA18" si="34">Q13</f>
        <v>-0.04</v>
      </c>
      <c r="AB13" s="74">
        <f t="shared" si="20"/>
        <v>2750</v>
      </c>
      <c r="AC13" s="52">
        <f t="shared" si="21"/>
        <v>755.01</v>
      </c>
      <c r="AD13" s="52">
        <f t="shared" si="22"/>
        <v>5.6900000000000013</v>
      </c>
      <c r="AE13" s="52">
        <f t="shared" si="22"/>
        <v>755.41</v>
      </c>
      <c r="AF13" s="52">
        <f t="shared" ref="AF13:AF18" si="35">E13-AD13-AI13</f>
        <v>8.4379999999999988</v>
      </c>
      <c r="AG13" s="52">
        <v>755.22299999999996</v>
      </c>
      <c r="AH13" s="52">
        <f t="shared" si="23"/>
        <v>755.22</v>
      </c>
      <c r="AI13" s="52">
        <v>5.7619999999999996</v>
      </c>
      <c r="AJ13" s="52">
        <f t="shared" ref="AJ13:AK18" si="36">O13</f>
        <v>755.36</v>
      </c>
      <c r="AK13" s="52">
        <f t="shared" si="36"/>
        <v>7.51</v>
      </c>
      <c r="AL13" s="75">
        <f t="shared" ref="AL13:AL18" si="37">S13</f>
        <v>755.06000000000006</v>
      </c>
      <c r="AM13" s="52">
        <f t="shared" ref="AM13:AM18" si="38">ROUND((AC13-AE13)/AD13,4)</f>
        <v>-7.0300000000000001E-2</v>
      </c>
      <c r="AN13" s="52">
        <f t="shared" ref="AN13:AN18" si="39">ROUND((AE13-AH13)/AF13,4)</f>
        <v>2.2499999999999999E-2</v>
      </c>
      <c r="AO13" s="52">
        <f t="shared" si="29"/>
        <v>-2.4299999999999999E-2</v>
      </c>
      <c r="AP13" s="52">
        <f t="shared" si="24"/>
        <v>3.9899999999999998E-2</v>
      </c>
    </row>
    <row r="14" spans="2:43" ht="15" customHeight="1" thickBot="1" x14ac:dyDescent="0.3">
      <c r="B14" s="41">
        <v>5.1539999999999999</v>
      </c>
      <c r="C14" s="41">
        <v>2</v>
      </c>
      <c r="D14" s="41">
        <f>IF('16'' width'!D16="","",'16'' width'!D16)</f>
        <v>755.95500000000004</v>
      </c>
      <c r="E14" s="41">
        <f>IF('16'' width'!E16="","",'16'' width'!E16)</f>
        <v>19.073</v>
      </c>
      <c r="F14" s="51">
        <f t="shared" si="8"/>
        <v>755.96</v>
      </c>
      <c r="G14" s="52">
        <f t="shared" si="30"/>
        <v>0.34000000000003183</v>
      </c>
      <c r="H14" s="52">
        <f t="shared" si="25"/>
        <v>6.8400000000000002E-2</v>
      </c>
      <c r="I14" s="53">
        <f t="shared" si="26"/>
        <v>4.9700000000000006</v>
      </c>
      <c r="J14" s="52">
        <f>O14+K14</f>
        <v>755.62</v>
      </c>
      <c r="K14" s="52">
        <f t="shared" si="27"/>
        <v>0.04</v>
      </c>
      <c r="L14" s="58">
        <f>$L$5+ROUND(($L$18-$L$5)/($N$18-$N$5)*($N14-$N$5),4)</f>
        <v>2.5000000000000005E-3</v>
      </c>
      <c r="M14" s="67">
        <f>$M$5+ROUND(($M$18-$M$5)/($N$18-$N$5)*($N14-$N$5),1)</f>
        <v>14.1</v>
      </c>
      <c r="N14" s="60">
        <v>2772.5</v>
      </c>
      <c r="O14" s="61">
        <v>755.58</v>
      </c>
      <c r="P14" s="67">
        <f>$P$5+ROUND(($P$18-$P$5)/($N$18-$N$5)*($N14-$N$5),2)</f>
        <v>8.2100000000000009</v>
      </c>
      <c r="Q14" s="59">
        <v>-0.04</v>
      </c>
      <c r="R14" s="53">
        <f t="shared" si="15"/>
        <v>-0.33</v>
      </c>
      <c r="S14" s="68">
        <f t="shared" si="16"/>
        <v>755.25</v>
      </c>
      <c r="T14" s="62"/>
      <c r="U14" s="70">
        <f t="shared" si="17"/>
        <v>2772.5</v>
      </c>
      <c r="V14" s="71" t="str">
        <f t="shared" si="31"/>
        <v>4.97, 0.34</v>
      </c>
      <c r="W14" s="71" t="str">
        <f t="shared" si="32"/>
        <v>14.1, 0.04</v>
      </c>
      <c r="X14" s="71" t="str">
        <f t="shared" si="18"/>
        <v>8.21, -0.33</v>
      </c>
      <c r="Y14" s="71">
        <f t="shared" si="19"/>
        <v>6.8400000000000002E-2</v>
      </c>
      <c r="Z14" s="71">
        <f t="shared" si="33"/>
        <v>2.5000000000000005E-3</v>
      </c>
      <c r="AA14" s="71">
        <f t="shared" si="34"/>
        <v>-0.04</v>
      </c>
      <c r="AB14" s="74">
        <f t="shared" si="20"/>
        <v>2772.5</v>
      </c>
      <c r="AC14" s="52">
        <f t="shared" si="21"/>
        <v>755.96</v>
      </c>
      <c r="AD14" s="52">
        <f t="shared" si="22"/>
        <v>4.9700000000000006</v>
      </c>
      <c r="AE14" s="52">
        <f t="shared" si="22"/>
        <v>755.62</v>
      </c>
      <c r="AF14" s="52">
        <f t="shared" si="35"/>
        <v>7.7249999999999996</v>
      </c>
      <c r="AG14" s="52">
        <v>755.98699999999997</v>
      </c>
      <c r="AH14" s="52">
        <f t="shared" si="23"/>
        <v>755.99</v>
      </c>
      <c r="AI14" s="52">
        <v>6.3780000000000001</v>
      </c>
      <c r="AJ14" s="52">
        <f t="shared" si="36"/>
        <v>755.58</v>
      </c>
      <c r="AK14" s="52">
        <f t="shared" si="36"/>
        <v>8.2100000000000009</v>
      </c>
      <c r="AL14" s="75">
        <f t="shared" si="37"/>
        <v>755.25</v>
      </c>
      <c r="AM14" s="52">
        <f t="shared" si="38"/>
        <v>6.8400000000000002E-2</v>
      </c>
      <c r="AN14" s="52">
        <f t="shared" si="39"/>
        <v>-4.7899999999999998E-2</v>
      </c>
      <c r="AO14" s="52">
        <f t="shared" si="29"/>
        <v>6.4299999999999996E-2</v>
      </c>
      <c r="AP14" s="52">
        <f t="shared" si="24"/>
        <v>4.02E-2</v>
      </c>
    </row>
    <row r="15" spans="2:43" ht="15" customHeight="1" thickBot="1" x14ac:dyDescent="0.3">
      <c r="B15" s="41">
        <v>4.7949999999999999</v>
      </c>
      <c r="C15" s="41">
        <v>2</v>
      </c>
      <c r="D15" s="41">
        <f>IF('16'' width'!D17="","",'16'' width'!D17)</f>
        <v>756.06299999999999</v>
      </c>
      <c r="E15" s="41">
        <f>IF('16'' width'!E17="","",'16'' width'!E17)</f>
        <v>18.984000000000002</v>
      </c>
      <c r="F15" s="51">
        <f t="shared" si="8"/>
        <v>756.06</v>
      </c>
      <c r="G15" s="52">
        <f t="shared" si="30"/>
        <v>-0.34000000000003183</v>
      </c>
      <c r="H15" s="52">
        <f t="shared" si="25"/>
        <v>-6.9699999999999998E-2</v>
      </c>
      <c r="I15" s="53">
        <f t="shared" si="26"/>
        <v>4.8800000000000008</v>
      </c>
      <c r="J15" s="52">
        <f>O15+K15</f>
        <v>756.4</v>
      </c>
      <c r="K15" s="52">
        <f t="shared" si="27"/>
        <v>0.04</v>
      </c>
      <c r="L15" s="58">
        <f>$L$5+ROUND(($L$18-$L$5)/($N$18-$N$5)*($N15-$N$5),4)</f>
        <v>2.5000000000000005E-3</v>
      </c>
      <c r="M15" s="67">
        <f>$M$5+ROUND(($M$18-$M$5)/($N$18-$N$5)*($N15-$N$5),1)</f>
        <v>14.1</v>
      </c>
      <c r="N15" s="60">
        <f>N13+25</f>
        <v>2775</v>
      </c>
      <c r="O15" s="61">
        <v>756.36</v>
      </c>
      <c r="P15" s="67">
        <f>$P$5+ROUND(($P$18-$P$5)/($N$18-$N$5)*($N15-$N$5),2)</f>
        <v>8.2900000000000009</v>
      </c>
      <c r="Q15" s="59">
        <v>-0.04</v>
      </c>
      <c r="R15" s="53">
        <f t="shared" si="15"/>
        <v>-0.33</v>
      </c>
      <c r="S15" s="68">
        <f t="shared" si="16"/>
        <v>756.03</v>
      </c>
      <c r="T15" s="62"/>
      <c r="U15" s="70">
        <f t="shared" si="17"/>
        <v>2775</v>
      </c>
      <c r="V15" s="71" t="str">
        <f t="shared" si="31"/>
        <v>4.88, -0.34</v>
      </c>
      <c r="W15" s="71" t="str">
        <f t="shared" si="32"/>
        <v>14.1, 0.04</v>
      </c>
      <c r="X15" s="71" t="str">
        <f t="shared" si="18"/>
        <v>8.29, -0.33</v>
      </c>
      <c r="Y15" s="71">
        <f t="shared" si="19"/>
        <v>-6.9699999999999998E-2</v>
      </c>
      <c r="Z15" s="71">
        <f t="shared" si="33"/>
        <v>2.5000000000000005E-3</v>
      </c>
      <c r="AA15" s="71">
        <f t="shared" si="34"/>
        <v>-0.04</v>
      </c>
      <c r="AB15" s="74">
        <f t="shared" si="20"/>
        <v>2775</v>
      </c>
      <c r="AC15" s="52">
        <f t="shared" si="21"/>
        <v>756.06</v>
      </c>
      <c r="AD15" s="52">
        <f t="shared" si="22"/>
        <v>4.8800000000000008</v>
      </c>
      <c r="AE15" s="52">
        <f t="shared" si="22"/>
        <v>756.4</v>
      </c>
      <c r="AF15" s="52">
        <f t="shared" si="35"/>
        <v>7.6700000000000008</v>
      </c>
      <c r="AG15" s="52">
        <v>756.077</v>
      </c>
      <c r="AH15" s="52">
        <f t="shared" si="23"/>
        <v>756.08</v>
      </c>
      <c r="AI15" s="52">
        <v>6.4340000000000002</v>
      </c>
      <c r="AJ15" s="52">
        <f t="shared" si="36"/>
        <v>756.36</v>
      </c>
      <c r="AK15" s="52">
        <f t="shared" si="36"/>
        <v>8.2900000000000009</v>
      </c>
      <c r="AL15" s="75">
        <f t="shared" si="37"/>
        <v>756.03</v>
      </c>
      <c r="AM15" s="52">
        <f t="shared" si="38"/>
        <v>-6.9699999999999998E-2</v>
      </c>
      <c r="AN15" s="52">
        <f t="shared" si="39"/>
        <v>4.1700000000000001E-2</v>
      </c>
      <c r="AO15" s="52">
        <f t="shared" si="29"/>
        <v>-4.3499999999999997E-2</v>
      </c>
      <c r="AP15" s="52">
        <f t="shared" si="24"/>
        <v>3.9800000000000002E-2</v>
      </c>
    </row>
    <row r="16" spans="2:43" ht="15" customHeight="1" thickBot="1" x14ac:dyDescent="0.3">
      <c r="B16" s="41">
        <v>4.077</v>
      </c>
      <c r="C16" s="41">
        <v>2</v>
      </c>
      <c r="D16" s="41">
        <f>IF('16'' width'!D18="","",'16'' width'!D18)</f>
        <v>757.18899999999996</v>
      </c>
      <c r="E16" s="41">
        <f>IF('16'' width'!E18="","",'16'' width'!E18)</f>
        <v>18.085999999999999</v>
      </c>
      <c r="F16" s="51">
        <f t="shared" si="8"/>
        <v>757.19</v>
      </c>
      <c r="G16" s="52">
        <f t="shared" si="30"/>
        <v>-0.19999999999993179</v>
      </c>
      <c r="H16" s="52">
        <f t="shared" si="25"/>
        <v>-4.8899999999999999E-2</v>
      </c>
      <c r="I16" s="53">
        <f t="shared" si="26"/>
        <v>4.09</v>
      </c>
      <c r="J16" s="52">
        <f>O16+K16</f>
        <v>757.39</v>
      </c>
      <c r="K16" s="52">
        <f t="shared" si="27"/>
        <v>0.02</v>
      </c>
      <c r="L16" s="58">
        <f>$L$5+ROUND(($L$18-$L$5)/($N$18-$N$5)*($N16-$N$5),4)</f>
        <v>1.6000000000000007E-3</v>
      </c>
      <c r="M16" s="67">
        <f>$M$5+ROUND(($M$18-$M$5)/($N$18-$N$5)*($N16-$N$5),1)</f>
        <v>14</v>
      </c>
      <c r="N16" s="60">
        <f t="shared" si="13"/>
        <v>2800</v>
      </c>
      <c r="O16" s="61">
        <v>757.37</v>
      </c>
      <c r="P16" s="67">
        <f>$P$5+ROUND(($P$18-$P$5)/($N$18-$N$5)*($N16-$N$5),2)</f>
        <v>9.07</v>
      </c>
      <c r="Q16" s="59">
        <v>-0.04</v>
      </c>
      <c r="R16" s="53">
        <f t="shared" si="15"/>
        <v>-0.36</v>
      </c>
      <c r="S16" s="68">
        <f t="shared" si="16"/>
        <v>757.01</v>
      </c>
      <c r="T16" s="62"/>
      <c r="U16" s="70">
        <f t="shared" si="17"/>
        <v>2800</v>
      </c>
      <c r="V16" s="71" t="str">
        <f t="shared" si="31"/>
        <v>4.09, -0.2</v>
      </c>
      <c r="W16" s="71" t="str">
        <f t="shared" si="32"/>
        <v>14, 0.02</v>
      </c>
      <c r="X16" s="71" t="str">
        <f t="shared" si="18"/>
        <v>9.07, -0.36</v>
      </c>
      <c r="Y16" s="71">
        <f t="shared" si="19"/>
        <v>-4.8899999999999999E-2</v>
      </c>
      <c r="Z16" s="71">
        <f t="shared" si="33"/>
        <v>1.6000000000000007E-3</v>
      </c>
      <c r="AA16" s="71">
        <f t="shared" si="34"/>
        <v>-0.04</v>
      </c>
      <c r="AB16" s="74">
        <f t="shared" si="20"/>
        <v>2800</v>
      </c>
      <c r="AC16" s="52">
        <f t="shared" si="21"/>
        <v>757.19</v>
      </c>
      <c r="AD16" s="52">
        <f t="shared" si="22"/>
        <v>4.09</v>
      </c>
      <c r="AE16" s="52">
        <f t="shared" si="22"/>
        <v>757.39</v>
      </c>
      <c r="AF16" s="52">
        <f t="shared" si="35"/>
        <v>8.2189999999999976</v>
      </c>
      <c r="AG16" s="52">
        <v>757.16200000000003</v>
      </c>
      <c r="AH16" s="52">
        <f t="shared" si="23"/>
        <v>757.16</v>
      </c>
      <c r="AI16" s="52">
        <v>5.7770000000000001</v>
      </c>
      <c r="AJ16" s="52">
        <f t="shared" si="36"/>
        <v>757.37</v>
      </c>
      <c r="AK16" s="52">
        <f t="shared" si="36"/>
        <v>9.07</v>
      </c>
      <c r="AL16" s="75">
        <f t="shared" si="37"/>
        <v>757.01</v>
      </c>
      <c r="AM16" s="52">
        <f t="shared" si="38"/>
        <v>-4.8899999999999999E-2</v>
      </c>
      <c r="AN16" s="52">
        <f t="shared" si="39"/>
        <v>2.8000000000000001E-2</v>
      </c>
      <c r="AO16" s="52">
        <f t="shared" si="29"/>
        <v>-3.6400000000000002E-2</v>
      </c>
      <c r="AP16" s="52">
        <f t="shared" si="24"/>
        <v>3.9699999999999999E-2</v>
      </c>
    </row>
    <row r="17" spans="2:42" ht="15" customHeight="1" thickBot="1" x14ac:dyDescent="0.3">
      <c r="B17" s="41">
        <v>3.6989999999999998</v>
      </c>
      <c r="C17" s="41">
        <v>2</v>
      </c>
      <c r="D17" s="41">
        <f>IF('16'' width'!D19="","",'16'' width'!D19)</f>
        <v>758.28200000000004</v>
      </c>
      <c r="E17" s="41">
        <f>IF('16'' width'!E19="","",'16'' width'!E19)</f>
        <v>17.498000000000001</v>
      </c>
      <c r="F17" s="51">
        <f t="shared" si="8"/>
        <v>758.28</v>
      </c>
      <c r="G17" s="52">
        <f t="shared" si="30"/>
        <v>-0.10000000000002274</v>
      </c>
      <c r="H17" s="52">
        <f t="shared" si="25"/>
        <v>-2.7799999999999998E-2</v>
      </c>
      <c r="I17" s="53">
        <f t="shared" si="26"/>
        <v>3.6000000000000014</v>
      </c>
      <c r="J17" s="52">
        <f>O17+K17</f>
        <v>758.38</v>
      </c>
      <c r="K17" s="52">
        <f t="shared" si="27"/>
        <v>0.01</v>
      </c>
      <c r="L17" s="58">
        <f>$L$5+ROUND(($L$18-$L$5)/($N$18-$N$5)*($N17-$N$5),4)</f>
        <v>8.0000000000000036E-4</v>
      </c>
      <c r="M17" s="67">
        <f>$M$5+ROUND(($M$18-$M$5)/($N$18-$N$5)*($N17-$N$5),1)</f>
        <v>13.899999999999999</v>
      </c>
      <c r="N17" s="60">
        <f t="shared" si="13"/>
        <v>2825</v>
      </c>
      <c r="O17" s="61">
        <v>758.37</v>
      </c>
      <c r="P17" s="67">
        <f>$P$5+ROUND(($P$18-$P$5)/($N$18-$N$5)*($N17-$N$5),2)</f>
        <v>9.84</v>
      </c>
      <c r="Q17" s="59">
        <v>-0.04</v>
      </c>
      <c r="R17" s="53">
        <f t="shared" si="15"/>
        <v>-0.39</v>
      </c>
      <c r="S17" s="68">
        <f t="shared" si="16"/>
        <v>757.98</v>
      </c>
      <c r="T17" s="62"/>
      <c r="U17" s="70">
        <f t="shared" si="17"/>
        <v>2825</v>
      </c>
      <c r="V17" s="71" t="str">
        <f t="shared" si="31"/>
        <v>3.6, -0.1</v>
      </c>
      <c r="W17" s="71" t="str">
        <f t="shared" si="32"/>
        <v>13.9, 0.01</v>
      </c>
      <c r="X17" s="71" t="str">
        <f t="shared" si="18"/>
        <v>9.84, -0.39</v>
      </c>
      <c r="Y17" s="71">
        <f t="shared" si="19"/>
        <v>-2.7799999999999998E-2</v>
      </c>
      <c r="Z17" s="71">
        <f t="shared" si="33"/>
        <v>8.0000000000000036E-4</v>
      </c>
      <c r="AA17" s="71">
        <f t="shared" si="34"/>
        <v>-0.04</v>
      </c>
      <c r="AB17" s="74">
        <f t="shared" si="20"/>
        <v>2825</v>
      </c>
      <c r="AC17" s="52">
        <f t="shared" si="21"/>
        <v>758.28</v>
      </c>
      <c r="AD17" s="52">
        <f t="shared" si="22"/>
        <v>3.6000000000000014</v>
      </c>
      <c r="AE17" s="52">
        <f t="shared" si="22"/>
        <v>758.38</v>
      </c>
      <c r="AF17" s="52">
        <f t="shared" si="35"/>
        <v>8.4149999999999991</v>
      </c>
      <c r="AG17" s="52">
        <v>758.32399999999996</v>
      </c>
      <c r="AH17" s="52">
        <f t="shared" si="23"/>
        <v>758.32</v>
      </c>
      <c r="AI17" s="52">
        <v>5.4829999999999997</v>
      </c>
      <c r="AJ17" s="52">
        <f t="shared" si="36"/>
        <v>758.37</v>
      </c>
      <c r="AK17" s="52">
        <f t="shared" si="36"/>
        <v>9.84</v>
      </c>
      <c r="AL17" s="75">
        <f t="shared" si="37"/>
        <v>757.98</v>
      </c>
      <c r="AM17" s="52">
        <f t="shared" si="38"/>
        <v>-2.7799999999999998E-2</v>
      </c>
      <c r="AN17" s="52">
        <f t="shared" si="39"/>
        <v>7.1000000000000004E-3</v>
      </c>
      <c r="AO17" s="52">
        <f t="shared" si="29"/>
        <v>-9.1000000000000004E-3</v>
      </c>
      <c r="AP17" s="52">
        <f t="shared" si="24"/>
        <v>3.9600000000000003E-2</v>
      </c>
    </row>
    <row r="18" spans="2:42" ht="15" customHeight="1" thickBot="1" x14ac:dyDescent="0.3">
      <c r="B18" s="41">
        <v>3.9009999999999998</v>
      </c>
      <c r="C18" s="41">
        <v>2</v>
      </c>
      <c r="D18" s="41">
        <f>IF('16'' width'!D20="","",'16'' width'!D20)</f>
        <v>759.33600000000001</v>
      </c>
      <c r="E18" s="41">
        <f>IF('16'' width'!E20="","",'16'' width'!E20)</f>
        <v>17.399999999999999</v>
      </c>
      <c r="F18" s="63">
        <f>'Ex-LW'!F18</f>
        <v>759.34</v>
      </c>
      <c r="G18" s="64">
        <f>'Ex-LW'!G18</f>
        <v>-2.9999999999972715E-2</v>
      </c>
      <c r="H18" s="64">
        <f>'Ex-LW'!H18</f>
        <v>-8.5000000000000006E-3</v>
      </c>
      <c r="I18" s="64">
        <f>'Ex-LW'!I18</f>
        <v>3.55</v>
      </c>
      <c r="J18" s="64">
        <f>'Ex-LW'!J18</f>
        <v>759.37</v>
      </c>
      <c r="K18" s="64">
        <f>'Ex-LW'!K18</f>
        <v>0</v>
      </c>
      <c r="L18" s="64">
        <f>'Ex-LW'!L18</f>
        <v>0</v>
      </c>
      <c r="M18" s="82">
        <f>'Ex-LW'!M18</f>
        <v>13.86</v>
      </c>
      <c r="N18" s="88">
        <f>'Ex-LW'!N18</f>
        <v>2850</v>
      </c>
      <c r="O18" s="82">
        <f>'Ex-LW'!O18</f>
        <v>759.37</v>
      </c>
      <c r="P18" s="63">
        <f>'Ex-LW'!P18</f>
        <v>10.62</v>
      </c>
      <c r="Q18" s="64">
        <f>'Ex-LW'!Q18</f>
        <v>-2.92E-2</v>
      </c>
      <c r="R18" s="64">
        <f>'Ex-LW'!R18</f>
        <v>-0.31000000000005912</v>
      </c>
      <c r="S18" s="64">
        <f>'Ex-LW'!S18</f>
        <v>759.06</v>
      </c>
      <c r="T18" s="82" t="str">
        <f>'Ex-LW'!T18</f>
        <v>MATCH EXISTING</v>
      </c>
      <c r="U18" s="70">
        <f t="shared" si="17"/>
        <v>2850</v>
      </c>
      <c r="V18" s="71" t="str">
        <f t="shared" si="31"/>
        <v>3.55, -0.03</v>
      </c>
      <c r="W18" s="71" t="str">
        <f t="shared" si="32"/>
        <v>13.86, 0</v>
      </c>
      <c r="X18" s="71" t="str">
        <f t="shared" si="18"/>
        <v>10.62, -0.31</v>
      </c>
      <c r="Y18" s="71">
        <f t="shared" si="19"/>
        <v>-8.5000000000000006E-3</v>
      </c>
      <c r="Z18" s="71">
        <f t="shared" si="33"/>
        <v>0</v>
      </c>
      <c r="AA18" s="71">
        <f t="shared" si="34"/>
        <v>-2.92E-2</v>
      </c>
      <c r="AB18" s="74">
        <f>N18</f>
        <v>2850</v>
      </c>
      <c r="AC18" s="52">
        <f t="shared" si="21"/>
        <v>759.34</v>
      </c>
      <c r="AD18" s="52">
        <f t="shared" si="22"/>
        <v>3.55</v>
      </c>
      <c r="AE18" s="52">
        <f t="shared" si="22"/>
        <v>759.37</v>
      </c>
      <c r="AF18" s="52">
        <f t="shared" si="35"/>
        <v>8.416999999999998</v>
      </c>
      <c r="AG18" s="52">
        <v>759.48</v>
      </c>
      <c r="AH18" s="52">
        <f t="shared" si="23"/>
        <v>759.48</v>
      </c>
      <c r="AI18" s="52">
        <v>5.4329999999999998</v>
      </c>
      <c r="AJ18" s="52">
        <f t="shared" si="36"/>
        <v>759.37</v>
      </c>
      <c r="AK18" s="52">
        <f t="shared" si="36"/>
        <v>10.62</v>
      </c>
      <c r="AL18" s="75">
        <f t="shared" si="37"/>
        <v>759.06</v>
      </c>
      <c r="AM18" s="52">
        <f t="shared" si="38"/>
        <v>-8.5000000000000006E-3</v>
      </c>
      <c r="AN18" s="52">
        <f t="shared" si="39"/>
        <v>-1.3100000000000001E-2</v>
      </c>
      <c r="AO18" s="52">
        <f t="shared" si="29"/>
        <v>2.0199999999999999E-2</v>
      </c>
      <c r="AP18" s="52">
        <f t="shared" si="24"/>
        <v>2.92E-2</v>
      </c>
    </row>
    <row r="20" spans="2:42" ht="15" customHeight="1" x14ac:dyDescent="0.25">
      <c r="AB20" s="197" t="s">
        <v>55</v>
      </c>
      <c r="AC20" s="197"/>
      <c r="AD20" s="197"/>
      <c r="AE20" s="197"/>
      <c r="AF20" s="87"/>
    </row>
    <row r="21" spans="2:42" ht="30" customHeight="1" x14ac:dyDescent="0.25">
      <c r="AB21" s="73" t="s">
        <v>43</v>
      </c>
      <c r="AC21" s="73" t="str">
        <f>AM4</f>
        <v>SLOPE: SHLDR-EOP</v>
      </c>
      <c r="AD21" s="73" t="str">
        <f>AN4</f>
        <v>SLOPE: EOP TO BL</v>
      </c>
      <c r="AE21" s="73" t="str">
        <f>AP4</f>
        <v>SLOPE: BL TO SHLDR</v>
      </c>
      <c r="AF21" s="72"/>
    </row>
    <row r="22" spans="2:42" ht="15" customHeight="1" x14ac:dyDescent="0.25">
      <c r="AB22" s="74">
        <f t="shared" ref="AB22:AB28" si="40">AB5</f>
        <v>2600</v>
      </c>
      <c r="AC22" s="52" t="str">
        <f t="shared" ref="AC22:AD24" si="41">_xlfn.CONCAT(IF(Y5&gt;0,"↓",IF(Y5=0,"-- ","↑")),ABS(Y5))</f>
        <v>↑0.0056</v>
      </c>
      <c r="AD22" s="52" t="str">
        <f t="shared" si="41"/>
        <v>↓0.0082</v>
      </c>
      <c r="AE22" s="52" t="str">
        <f>_xlfn.CONCAT(IF(AA5&lt;0,"↓",IF(AA5=0,"-- ","↑")),ABS(AA5))</f>
        <v>↓0.0211</v>
      </c>
      <c r="AH22" s="41">
        <f>(AH5-AJ5)</f>
        <v>0.12000000000000455</v>
      </c>
      <c r="AI22" s="41">
        <f>AI5</f>
        <v>8.24</v>
      </c>
    </row>
    <row r="23" spans="2:42" ht="15" customHeight="1" x14ac:dyDescent="0.25">
      <c r="AB23" s="74">
        <f t="shared" si="40"/>
        <v>2625</v>
      </c>
      <c r="AC23" s="52" t="str">
        <f t="shared" si="41"/>
        <v>↓0.0094</v>
      </c>
      <c r="AD23" s="52" t="str">
        <f t="shared" si="41"/>
        <v>↓0.0074</v>
      </c>
      <c r="AE23" s="52" t="str">
        <f>_xlfn.CONCAT(IF(AA6&lt;0,"↓",IF(AA6=0,"-- ","↑")),ABS(AA6))</f>
        <v>↓0.04</v>
      </c>
      <c r="AH23" s="41">
        <f>(AH6-AJ6)</f>
        <v>0.15999999999996817</v>
      </c>
      <c r="AI23" s="41">
        <f>AI6</f>
        <v>8.1379999999999999</v>
      </c>
    </row>
    <row r="24" spans="2:42" ht="15" customHeight="1" x14ac:dyDescent="0.25">
      <c r="AB24" s="74">
        <f t="shared" si="40"/>
        <v>2650</v>
      </c>
      <c r="AC24" s="52" t="str">
        <f t="shared" si="41"/>
        <v>↓0.0304</v>
      </c>
      <c r="AD24" s="52" t="str">
        <f t="shared" si="41"/>
        <v>↓0.0066</v>
      </c>
      <c r="AE24" s="52" t="str">
        <f t="shared" ref="AE24:AE27" si="42">_xlfn.CONCAT(IF(AA7&lt;0,"↓",IF(AA7=0,"-- ","↑")),ABS(AA7))</f>
        <v>↓0.04</v>
      </c>
      <c r="AH24" s="41">
        <f>(AH7-AJ7)</f>
        <v>6.9999999999936335E-2</v>
      </c>
      <c r="AI24" s="41">
        <f>AI7</f>
        <v>7.641</v>
      </c>
    </row>
    <row r="25" spans="2:42" ht="15" customHeight="1" x14ac:dyDescent="0.25">
      <c r="AB25" s="74">
        <f t="shared" si="40"/>
        <v>2675</v>
      </c>
      <c r="AC25" s="52" t="str">
        <f t="shared" ref="AC25:AD25" si="43">_xlfn.CONCAT(IF(Y8&gt;0,"↓",IF(Y8=0,"-- ","↑")),ABS(Y8))</f>
        <v>↓0.0108</v>
      </c>
      <c r="AD25" s="52" t="str">
        <f t="shared" si="43"/>
        <v>↓0.0057</v>
      </c>
      <c r="AE25" s="52" t="str">
        <f t="shared" si="42"/>
        <v>↓0.04</v>
      </c>
      <c r="AH25" s="41">
        <f>(AH8-AJ8)</f>
        <v>0.29999999999995453</v>
      </c>
      <c r="AI25" s="41">
        <f>AI8</f>
        <v>6.7859999999999996</v>
      </c>
    </row>
    <row r="26" spans="2:42" ht="15" customHeight="1" x14ac:dyDescent="0.25">
      <c r="AB26" s="74">
        <f t="shared" si="40"/>
        <v>2700</v>
      </c>
      <c r="AC26" s="52" t="str">
        <f t="shared" ref="AC26:AD26" si="44">_xlfn.CONCAT(IF(Y9&gt;0,"↓",IF(Y9=0,"-- ","↑")),ABS(Y9))</f>
        <v>↑0.0162</v>
      </c>
      <c r="AD26" s="52" t="str">
        <f t="shared" si="44"/>
        <v>↓0.0049</v>
      </c>
      <c r="AE26" s="52" t="str">
        <f t="shared" si="42"/>
        <v>↓0.04</v>
      </c>
      <c r="AH26" s="41">
        <f t="shared" ref="AH26:AH27" si="45">(AH9-AJ9)</f>
        <v>0.25</v>
      </c>
      <c r="AI26" s="41">
        <f t="shared" ref="AI26:AI28" si="46">AI9</f>
        <v>6.67</v>
      </c>
    </row>
    <row r="27" spans="2:42" ht="15" customHeight="1" x14ac:dyDescent="0.25">
      <c r="AB27" s="74">
        <f t="shared" si="40"/>
        <v>2719</v>
      </c>
      <c r="AC27" s="52" t="str">
        <f t="shared" ref="AC27:AD27" si="47">_xlfn.CONCAT(IF(Y10&gt;0,"↓",IF(Y10=0,"-- ","↑")),ABS(Y10))</f>
        <v>↑0.0536</v>
      </c>
      <c r="AD27" s="52" t="str">
        <f t="shared" si="47"/>
        <v>↓0.0043</v>
      </c>
      <c r="AE27" s="52" t="str">
        <f t="shared" si="42"/>
        <v>↓0.04</v>
      </c>
      <c r="AH27" s="41">
        <f t="shared" si="45"/>
        <v>2.9999999999972715E-2</v>
      </c>
      <c r="AI27" s="41">
        <f t="shared" si="46"/>
        <v>6.141</v>
      </c>
    </row>
    <row r="28" spans="2:42" ht="15" customHeight="1" x14ac:dyDescent="0.25">
      <c r="AB28" s="74">
        <f t="shared" si="40"/>
        <v>2725</v>
      </c>
      <c r="AC28" s="52" t="str">
        <f t="shared" ref="AC28:AD28" si="48">_xlfn.CONCAT(IF(Y11&gt;0,"↓",IF(Y11=0,"-- ","↑")),ABS(Y11))</f>
        <v>↑0.0564</v>
      </c>
      <c r="AD28" s="52" t="str">
        <f t="shared" si="48"/>
        <v>↓0.0041</v>
      </c>
      <c r="AE28" s="52" t="str">
        <f>_xlfn.CONCAT(IF(AA11&lt;0,"↓",IF(AA11=0,"-- ","↑")),ABS(AA11))</f>
        <v>↓0.04</v>
      </c>
      <c r="AH28" s="41">
        <f>(AH11-AJ11)</f>
        <v>2.9999999999972715E-2</v>
      </c>
      <c r="AI28" s="41">
        <f t="shared" si="46"/>
        <v>6.1760000000000002</v>
      </c>
    </row>
    <row r="29" spans="2:42" ht="15" customHeight="1" x14ac:dyDescent="0.25">
      <c r="AB29" s="74">
        <f t="shared" ref="AB29:AB34" si="49">AB13</f>
        <v>2750</v>
      </c>
      <c r="AC29" s="52" t="str">
        <f t="shared" ref="AC29:AC30" si="50">_xlfn.CONCAT(IF(Y13&gt;0,"↓",IF(Y13=0,"-- ","↑")),ABS(Y13))</f>
        <v>↑0.0703</v>
      </c>
      <c r="AD29" s="52" t="str">
        <f t="shared" ref="AD29:AD30" si="51">_xlfn.CONCAT(IF(Z13&gt;0,"↓",IF(Z13=0,"-- ","↑")),ABS(Z13))</f>
        <v>↓0.0033</v>
      </c>
      <c r="AE29" s="52" t="str">
        <f t="shared" ref="AE29:AE33" si="52">_xlfn.CONCAT(IF(AA13&lt;0,"↓",IF(AA13=0,"-- ","↑")),ABS(AA13))</f>
        <v>↓0.04</v>
      </c>
      <c r="AH29" s="41">
        <f t="shared" ref="AH29:AH33" si="53">(AH13-AJ13)</f>
        <v>-0.13999999999998636</v>
      </c>
      <c r="AI29" s="41">
        <f t="shared" ref="AI29:AI33" si="54">AI13</f>
        <v>5.7619999999999996</v>
      </c>
    </row>
    <row r="30" spans="2:42" ht="15" customHeight="1" x14ac:dyDescent="0.25">
      <c r="AB30" s="74">
        <f t="shared" si="49"/>
        <v>2772.5</v>
      </c>
      <c r="AC30" s="52" t="str">
        <f t="shared" si="50"/>
        <v>↓0.0684</v>
      </c>
      <c r="AD30" s="52" t="str">
        <f t="shared" si="51"/>
        <v>↓0.0025</v>
      </c>
      <c r="AE30" s="52" t="str">
        <f t="shared" si="52"/>
        <v>↓0.04</v>
      </c>
      <c r="AH30" s="41">
        <f t="shared" si="53"/>
        <v>0.40999999999996817</v>
      </c>
      <c r="AI30" s="41">
        <f t="shared" si="54"/>
        <v>6.3780000000000001</v>
      </c>
    </row>
    <row r="31" spans="2:42" ht="15" customHeight="1" x14ac:dyDescent="0.25">
      <c r="AB31" s="74">
        <f t="shared" si="49"/>
        <v>2775</v>
      </c>
      <c r="AC31" s="52" t="str">
        <f t="shared" ref="AC31:AD31" si="55">_xlfn.CONCAT(IF(Y15&gt;0,"↓",IF(Y15=0,"-- ","↑")),ABS(Y15))</f>
        <v>↑0.0697</v>
      </c>
      <c r="AD31" s="52" t="str">
        <f t="shared" si="55"/>
        <v>↓0.0025</v>
      </c>
      <c r="AE31" s="52" t="str">
        <f t="shared" si="52"/>
        <v>↓0.04</v>
      </c>
      <c r="AH31" s="41">
        <f t="shared" si="53"/>
        <v>-0.27999999999997272</v>
      </c>
      <c r="AI31" s="41">
        <f t="shared" si="54"/>
        <v>6.4340000000000002</v>
      </c>
    </row>
    <row r="32" spans="2:42" ht="15" customHeight="1" x14ac:dyDescent="0.25">
      <c r="AB32" s="74">
        <f t="shared" si="49"/>
        <v>2800</v>
      </c>
      <c r="AC32" s="52" t="str">
        <f t="shared" ref="AC32:AC34" si="56">_xlfn.CONCAT(IF(Y16&gt;0,"↓",IF(Y16=0,"-- ","↑")),ABS(Y16))</f>
        <v>↑0.0489</v>
      </c>
      <c r="AD32" s="52" t="str">
        <f t="shared" ref="AD32:AD34" si="57">_xlfn.CONCAT(IF(Z16&gt;0,"↓",IF(Z16=0,"-- ","↑")),ABS(Z16))</f>
        <v>↓0.0016</v>
      </c>
      <c r="AE32" s="52" t="str">
        <f t="shared" si="52"/>
        <v>↓0.04</v>
      </c>
      <c r="AH32" s="41">
        <f t="shared" si="53"/>
        <v>-0.21000000000003638</v>
      </c>
      <c r="AI32" s="41">
        <f t="shared" si="54"/>
        <v>5.7770000000000001</v>
      </c>
    </row>
    <row r="33" spans="28:35" ht="15" customHeight="1" x14ac:dyDescent="0.25">
      <c r="AB33" s="74">
        <f t="shared" si="49"/>
        <v>2825</v>
      </c>
      <c r="AC33" s="52" t="str">
        <f t="shared" si="56"/>
        <v>↑0.0278</v>
      </c>
      <c r="AD33" s="52" t="str">
        <f t="shared" si="57"/>
        <v>↓0.0008</v>
      </c>
      <c r="AE33" s="52" t="str">
        <f t="shared" si="52"/>
        <v>↓0.04</v>
      </c>
      <c r="AH33" s="41">
        <f t="shared" si="53"/>
        <v>-4.9999999999954525E-2</v>
      </c>
      <c r="AI33" s="41">
        <f t="shared" si="54"/>
        <v>5.4829999999999997</v>
      </c>
    </row>
    <row r="34" spans="28:35" ht="15" customHeight="1" x14ac:dyDescent="0.25">
      <c r="AB34" s="74">
        <f t="shared" si="49"/>
        <v>2850</v>
      </c>
      <c r="AC34" s="52" t="str">
        <f t="shared" si="56"/>
        <v>↑0.0085</v>
      </c>
      <c r="AD34" s="52" t="str">
        <f t="shared" si="57"/>
        <v>-- 0</v>
      </c>
      <c r="AE34" s="52" t="str">
        <f>_xlfn.CONCAT(IF(AA18&lt;0,"↓",IF(AA18=0,"-- ","↑")),ABS(AA18))</f>
        <v>↓0.0292</v>
      </c>
      <c r="AH34" s="41">
        <f>(AH18-AJ18)</f>
        <v>0.11000000000001364</v>
      </c>
      <c r="AI34" s="41">
        <f>AI18</f>
        <v>5.4329999999999998</v>
      </c>
    </row>
  </sheetData>
  <mergeCells count="10">
    <mergeCell ref="AB20:AE20"/>
    <mergeCell ref="F2:T2"/>
    <mergeCell ref="B3:B4"/>
    <mergeCell ref="C3:C4"/>
    <mergeCell ref="D3:D4"/>
    <mergeCell ref="E3:E4"/>
    <mergeCell ref="F3:M3"/>
    <mergeCell ref="N3:N4"/>
    <mergeCell ref="P3:S3"/>
    <mergeCell ref="T3:T4"/>
  </mergeCells>
  <pageMargins left="0.7" right="0.7" top="0.75" bottom="0.75" header="0.3" footer="0.3"/>
  <pageSetup paperSize="1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E3623-9BC6-4222-BA77-58166DE33ACA}">
  <dimension ref="B1:AF19"/>
  <sheetViews>
    <sheetView topLeftCell="J1" workbookViewId="0">
      <selection activeCell="U19" sqref="U19"/>
    </sheetView>
  </sheetViews>
  <sheetFormatPr defaultRowHeight="15" customHeight="1" x14ac:dyDescent="0.25"/>
  <cols>
    <col min="1" max="5" width="9.140625" style="41"/>
    <col min="6" max="6" width="10.7109375" style="41" customWidth="1"/>
    <col min="7" max="13" width="9.140625" style="41"/>
    <col min="14" max="14" width="11.140625" style="41" bestFit="1" customWidth="1"/>
    <col min="15" max="15" width="10.7109375" style="41" customWidth="1"/>
    <col min="16" max="18" width="11.140625" style="41" customWidth="1"/>
    <col min="19" max="19" width="9.140625" style="42"/>
    <col min="20" max="20" width="10.7109375" style="41" customWidth="1"/>
    <col min="21" max="24" width="9.140625" style="41"/>
    <col min="25" max="25" width="20.7109375" style="43" customWidth="1"/>
    <col min="26" max="32" width="9.140625" style="41" hidden="1" customWidth="1"/>
    <col min="33" max="33" width="26" style="41" customWidth="1"/>
    <col min="34" max="16384" width="9.140625" style="41"/>
  </cols>
  <sheetData>
    <row r="1" spans="2:32" ht="15" customHeight="1" thickBot="1" x14ac:dyDescent="0.3"/>
    <row r="2" spans="2:32" ht="30" customHeight="1" thickBot="1" x14ac:dyDescent="0.3">
      <c r="F2" s="187" t="s">
        <v>17</v>
      </c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9"/>
    </row>
    <row r="3" spans="2:32" ht="15" customHeight="1" x14ac:dyDescent="0.25">
      <c r="B3" s="180" t="s">
        <v>21</v>
      </c>
      <c r="C3" s="180" t="s">
        <v>16</v>
      </c>
      <c r="D3" s="180" t="s">
        <v>20</v>
      </c>
      <c r="E3" s="181" t="s">
        <v>22</v>
      </c>
      <c r="F3" s="215" t="s">
        <v>64</v>
      </c>
      <c r="G3" s="216"/>
      <c r="H3" s="216"/>
      <c r="I3" s="216"/>
      <c r="J3" s="216"/>
      <c r="K3" s="215" t="s">
        <v>65</v>
      </c>
      <c r="L3" s="216"/>
      <c r="M3" s="216"/>
      <c r="N3" s="216"/>
      <c r="O3" s="216"/>
      <c r="P3" s="216"/>
      <c r="Q3" s="216"/>
      <c r="R3" s="217"/>
      <c r="S3" s="192" t="s">
        <v>34</v>
      </c>
      <c r="T3" s="44" t="s">
        <v>27</v>
      </c>
      <c r="U3" s="194" t="s">
        <v>26</v>
      </c>
      <c r="V3" s="191"/>
      <c r="W3" s="191"/>
      <c r="X3" s="199"/>
      <c r="Y3" s="200" t="s">
        <v>24</v>
      </c>
    </row>
    <row r="4" spans="2:32" ht="15" customHeight="1" x14ac:dyDescent="0.25">
      <c r="B4" s="180"/>
      <c r="C4" s="180"/>
      <c r="D4" s="180"/>
      <c r="E4" s="181"/>
      <c r="F4" s="203" t="s">
        <v>33</v>
      </c>
      <c r="G4" s="207" t="s">
        <v>25</v>
      </c>
      <c r="H4" s="207" t="s">
        <v>30</v>
      </c>
      <c r="I4" s="207" t="s">
        <v>29</v>
      </c>
      <c r="J4" s="209" t="s">
        <v>31</v>
      </c>
      <c r="K4" s="205" t="s">
        <v>25</v>
      </c>
      <c r="L4" s="207" t="s">
        <v>30</v>
      </c>
      <c r="M4" s="211" t="s">
        <v>67</v>
      </c>
      <c r="N4" s="211" t="s">
        <v>29</v>
      </c>
      <c r="O4" s="211" t="s">
        <v>66</v>
      </c>
      <c r="P4" s="211" t="s">
        <v>25</v>
      </c>
      <c r="Q4" s="211" t="s">
        <v>30</v>
      </c>
      <c r="R4" s="213" t="s">
        <v>29</v>
      </c>
      <c r="S4" s="198"/>
      <c r="T4" s="213" t="s">
        <v>28</v>
      </c>
      <c r="U4" s="205" t="s">
        <v>29</v>
      </c>
      <c r="V4" s="207" t="s">
        <v>30</v>
      </c>
      <c r="W4" s="207" t="s">
        <v>25</v>
      </c>
      <c r="X4" s="209" t="s">
        <v>31</v>
      </c>
      <c r="Y4" s="201"/>
    </row>
    <row r="5" spans="2:32" ht="15" customHeight="1" thickBot="1" x14ac:dyDescent="0.3">
      <c r="B5" s="180"/>
      <c r="C5" s="180"/>
      <c r="D5" s="180"/>
      <c r="E5" s="181"/>
      <c r="F5" s="204"/>
      <c r="G5" s="208"/>
      <c r="H5" s="208"/>
      <c r="I5" s="208"/>
      <c r="J5" s="210"/>
      <c r="K5" s="206"/>
      <c r="L5" s="208"/>
      <c r="M5" s="212"/>
      <c r="N5" s="212"/>
      <c r="O5" s="212"/>
      <c r="P5" s="212"/>
      <c r="Q5" s="212"/>
      <c r="R5" s="214"/>
      <c r="S5" s="193"/>
      <c r="T5" s="214"/>
      <c r="U5" s="206"/>
      <c r="V5" s="208"/>
      <c r="W5" s="208"/>
      <c r="X5" s="210"/>
      <c r="Y5" s="202"/>
      <c r="AA5" s="41" t="s">
        <v>39</v>
      </c>
      <c r="AB5" s="41" t="s">
        <v>40</v>
      </c>
      <c r="AC5" s="41" t="s">
        <v>41</v>
      </c>
      <c r="AD5" s="41" t="s">
        <v>36</v>
      </c>
      <c r="AE5" s="41" t="s">
        <v>37</v>
      </c>
      <c r="AF5" s="41" t="s">
        <v>38</v>
      </c>
    </row>
    <row r="6" spans="2:32" ht="15" customHeight="1" thickBot="1" x14ac:dyDescent="0.3">
      <c r="B6" s="41" t="s">
        <v>19</v>
      </c>
      <c r="C6" s="41" t="s">
        <v>19</v>
      </c>
      <c r="D6" s="41">
        <v>749.39499999999998</v>
      </c>
      <c r="E6" s="41">
        <v>21.847000000000001</v>
      </c>
      <c r="F6" s="51">
        <f>IF(D6="","",ROUND(D6,2))</f>
        <v>749.4</v>
      </c>
      <c r="G6" s="52">
        <f t="shared" ref="G6:G12" si="0">F6-J6</f>
        <v>-4.0000000000077307E-2</v>
      </c>
      <c r="H6" s="53">
        <f>ROUND(G6/I6,4)</f>
        <v>-5.5999999999999999E-3</v>
      </c>
      <c r="I6" s="103">
        <f t="shared" ref="I6:I18" si="1">IF(E6="","",ROUND(E6-N6-R6,2))</f>
        <v>7.15</v>
      </c>
      <c r="J6" s="109">
        <v>749.44</v>
      </c>
      <c r="K6" s="51">
        <f>O6-J6</f>
        <v>0</v>
      </c>
      <c r="L6" s="53">
        <f>ROUND(K6/N6,4)</f>
        <v>0</v>
      </c>
      <c r="M6" s="68">
        <f>ROUND(N6+R6,2)</f>
        <v>14.7</v>
      </c>
      <c r="N6" s="79">
        <f>'Ex-LW'!AG5</f>
        <v>6.4570000000000007</v>
      </c>
      <c r="O6" s="78">
        <f>'Ex-LW'!AJ5</f>
        <v>749.44</v>
      </c>
      <c r="P6" s="96">
        <f>T6-O6</f>
        <v>-0.12000000000000455</v>
      </c>
      <c r="Q6" s="97">
        <f>ROUND(P6/R6,4)</f>
        <v>-1.46E-2</v>
      </c>
      <c r="R6" s="111">
        <f>'Ex-LW'!AK5</f>
        <v>8.24</v>
      </c>
      <c r="S6" s="55">
        <v>2600</v>
      </c>
      <c r="T6" s="56">
        <v>749.32</v>
      </c>
      <c r="U6" s="96">
        <v>8</v>
      </c>
      <c r="V6" s="59">
        <v>-0.04</v>
      </c>
      <c r="W6" s="53">
        <f>ROUND(U6*V6,2)</f>
        <v>-0.32</v>
      </c>
      <c r="X6" s="104">
        <f>T6+W6</f>
        <v>749</v>
      </c>
      <c r="Y6" s="106" t="s">
        <v>12</v>
      </c>
      <c r="Z6" s="70">
        <f>S6</f>
        <v>2600</v>
      </c>
      <c r="AA6" s="71" t="str">
        <f t="shared" ref="AA6:AA12" si="2">_xlfn.CONCAT(I6,", ",ROUND(G6,2))</f>
        <v>7.15, -0.04</v>
      </c>
      <c r="AB6" s="71" t="str">
        <f t="shared" ref="AB6:AB12" si="3">_xlfn.CONCAT(N6,", ",ROUND(K6,2))</f>
        <v>6.457, 0</v>
      </c>
      <c r="AC6" s="71" t="str">
        <f>_xlfn.CONCAT(U6,", ",ROUND(W6,2))</f>
        <v>8, -0.32</v>
      </c>
      <c r="AD6" s="71">
        <f t="shared" ref="AD6:AD12" si="4">H6</f>
        <v>-5.5999999999999999E-3</v>
      </c>
      <c r="AE6" s="71">
        <f t="shared" ref="AE6:AE12" si="5">L6</f>
        <v>0</v>
      </c>
      <c r="AF6" s="71">
        <f t="shared" ref="AF6:AF12" si="6">V6</f>
        <v>-0.04</v>
      </c>
    </row>
    <row r="7" spans="2:32" ht="15" customHeight="1" thickBot="1" x14ac:dyDescent="0.3">
      <c r="B7" s="41" t="s">
        <v>19</v>
      </c>
      <c r="C7" s="41" t="s">
        <v>19</v>
      </c>
      <c r="D7" s="41">
        <v>750.49800000000005</v>
      </c>
      <c r="E7" s="41">
        <v>22.027000000000001</v>
      </c>
      <c r="F7" s="51">
        <f t="shared" ref="F7:F19" si="7">IF(D7="","",ROUND(D7,2))</f>
        <v>750.5</v>
      </c>
      <c r="G7" s="52">
        <f t="shared" si="0"/>
        <v>0.15999999999996817</v>
      </c>
      <c r="H7" s="52">
        <f>ROUND(G7/I7,4)</f>
        <v>2.1600000000000001E-2</v>
      </c>
      <c r="I7" s="52">
        <f t="shared" si="1"/>
        <v>7.41</v>
      </c>
      <c r="J7" s="100">
        <f t="shared" ref="J7:J12" si="8">T7+K7</f>
        <v>750.34</v>
      </c>
      <c r="K7" s="112">
        <f>ROUND(L7*N7,2)</f>
        <v>0.01</v>
      </c>
      <c r="L7" s="58">
        <f t="shared" ref="L7:L12" si="9">$L$6+ROUND(($L$19-$L$6)/($S$19-$S$6)*($S7-$S$6),4)</f>
        <v>1.4E-3</v>
      </c>
      <c r="M7" s="68">
        <f t="shared" ref="M7:M19" si="10">ROUND(N7+R7,2)</f>
        <v>14.62</v>
      </c>
      <c r="N7" s="95">
        <f t="shared" ref="N7:N12" si="11">$N$6+ROUND(($N$19-$N$6)/($S$19-$S$6)*($S7-$S$6),1)</f>
        <v>6.6570000000000009</v>
      </c>
      <c r="O7" s="75">
        <f>X7+P7</f>
        <v>749.88</v>
      </c>
      <c r="P7" s="95">
        <f>ROUND(R7*Q7,2)</f>
        <v>-0.12</v>
      </c>
      <c r="Q7" s="94">
        <f t="shared" ref="Q7:Q12" si="12">$Q$6+ROUND(($Q$19-$Q$6)/($S$19-$S$6)*($S7-$S$6),4)</f>
        <v>-1.52E-2</v>
      </c>
      <c r="R7" s="113">
        <f t="shared" ref="R7:R12" si="13">$R$6+ROUND(($R$19-$R$6)/($S$19-$S$6)*($S7-$S$6),2)</f>
        <v>7.96</v>
      </c>
      <c r="S7" s="60">
        <f t="shared" ref="S7:S19" si="14">S6+25</f>
        <v>2625</v>
      </c>
      <c r="T7" s="101">
        <f>$T$6+ROUND(($T$19-$T$6)/($S$19-$S$6)*($S7-$S$6),2)</f>
        <v>750.33</v>
      </c>
      <c r="U7" s="95">
        <f>$U$6+ROUND(($U$19-$U$6)/($S$19-$S$6)*($S7-$S$6),2)</f>
        <v>8.14</v>
      </c>
      <c r="V7" s="59">
        <v>-0.04</v>
      </c>
      <c r="W7" s="53">
        <f t="shared" ref="W7:W18" si="15">ROUND(U7*V7,2)</f>
        <v>-0.33</v>
      </c>
      <c r="X7" s="104">
        <f t="shared" ref="X7:X18" si="16">T7+W7</f>
        <v>750</v>
      </c>
      <c r="Y7" s="107"/>
      <c r="Z7" s="70">
        <f t="shared" ref="Z7:Z19" si="17">S7</f>
        <v>2625</v>
      </c>
      <c r="AA7" s="71" t="str">
        <f t="shared" si="2"/>
        <v>7.41, 0.16</v>
      </c>
      <c r="AB7" s="71" t="str">
        <f t="shared" si="3"/>
        <v>6.657, 0.01</v>
      </c>
      <c r="AC7" s="71" t="str">
        <f t="shared" ref="AC7:AC19" si="18">_xlfn.CONCAT(U7,", ",ROUND(W7,2))</f>
        <v>8.14, -0.33</v>
      </c>
      <c r="AD7" s="71">
        <f t="shared" si="4"/>
        <v>2.1600000000000001E-2</v>
      </c>
      <c r="AE7" s="71">
        <f t="shared" si="5"/>
        <v>1.4E-3</v>
      </c>
      <c r="AF7" s="71">
        <f t="shared" si="6"/>
        <v>-0.04</v>
      </c>
    </row>
    <row r="8" spans="2:32" ht="15" customHeight="1" thickBot="1" x14ac:dyDescent="0.3">
      <c r="B8" s="41" t="s">
        <v>19</v>
      </c>
      <c r="C8" s="41" t="s">
        <v>19</v>
      </c>
      <c r="D8" s="41">
        <v>751.70600000000002</v>
      </c>
      <c r="E8" s="41">
        <v>23.713999999999999</v>
      </c>
      <c r="F8" s="51">
        <f t="shared" si="7"/>
        <v>751.71</v>
      </c>
      <c r="G8" s="52">
        <f t="shared" si="0"/>
        <v>0.36000000000001364</v>
      </c>
      <c r="H8" s="52">
        <f t="shared" ref="H8:H19" si="19">ROUND(G8/I8,4)</f>
        <v>3.9199999999999999E-2</v>
      </c>
      <c r="I8" s="52">
        <f t="shared" si="1"/>
        <v>9.18</v>
      </c>
      <c r="J8" s="100">
        <f t="shared" si="8"/>
        <v>751.35</v>
      </c>
      <c r="K8" s="112">
        <f t="shared" ref="K8:K16" si="20">ROUND(L8*N8,2)</f>
        <v>0.02</v>
      </c>
      <c r="L8" s="58">
        <f t="shared" si="9"/>
        <v>2.8E-3</v>
      </c>
      <c r="M8" s="68">
        <f t="shared" si="10"/>
        <v>14.54</v>
      </c>
      <c r="N8" s="95">
        <f t="shared" si="11"/>
        <v>6.8570000000000011</v>
      </c>
      <c r="O8" s="75">
        <f t="shared" ref="O8:O18" si="21">X8+P8</f>
        <v>750.88</v>
      </c>
      <c r="P8" s="95">
        <f t="shared" ref="P8:P18" si="22">ROUND(R8*Q8,2)</f>
        <v>-0.12</v>
      </c>
      <c r="Q8" s="94">
        <f t="shared" si="12"/>
        <v>-1.5699999999999999E-2</v>
      </c>
      <c r="R8" s="113">
        <f t="shared" si="13"/>
        <v>7.68</v>
      </c>
      <c r="S8" s="60">
        <f>S7+25</f>
        <v>2650</v>
      </c>
      <c r="T8" s="101">
        <f t="shared" ref="T8:T18" si="23">$T$6+ROUND(($T$19-$T$6)/($S$19-$S$6)*($S8-$S$6),2)</f>
        <v>751.33</v>
      </c>
      <c r="U8" s="95">
        <f t="shared" ref="U8:U11" si="24">$U$6+ROUND(($U$19-$U$6)/($S$19-$S$6)*($S8-$S$6),2)</f>
        <v>8.27</v>
      </c>
      <c r="V8" s="59">
        <v>-0.04</v>
      </c>
      <c r="W8" s="53">
        <f t="shared" si="15"/>
        <v>-0.33</v>
      </c>
      <c r="X8" s="104">
        <f t="shared" si="16"/>
        <v>751</v>
      </c>
      <c r="Y8" s="107"/>
      <c r="Z8" s="70">
        <f t="shared" si="17"/>
        <v>2650</v>
      </c>
      <c r="AA8" s="71" t="str">
        <f t="shared" si="2"/>
        <v>9.18, 0.36</v>
      </c>
      <c r="AB8" s="71" t="str">
        <f t="shared" si="3"/>
        <v>6.857, 0.02</v>
      </c>
      <c r="AC8" s="71" t="str">
        <f t="shared" si="18"/>
        <v>8.27, -0.33</v>
      </c>
      <c r="AD8" s="71">
        <f t="shared" si="4"/>
        <v>3.9199999999999999E-2</v>
      </c>
      <c r="AE8" s="71">
        <f t="shared" si="5"/>
        <v>2.8E-3</v>
      </c>
      <c r="AF8" s="71">
        <f t="shared" si="6"/>
        <v>-0.04</v>
      </c>
    </row>
    <row r="9" spans="2:32" ht="15" customHeight="1" thickBot="1" x14ac:dyDescent="0.3">
      <c r="B9" s="41">
        <v>7.89</v>
      </c>
      <c r="C9" s="41">
        <v>2</v>
      </c>
      <c r="D9" s="41">
        <v>752.51199999999994</v>
      </c>
      <c r="E9" s="41">
        <v>22.763999999999999</v>
      </c>
      <c r="F9" s="51">
        <f t="shared" si="7"/>
        <v>752.51</v>
      </c>
      <c r="G9" s="52">
        <f t="shared" si="0"/>
        <v>0.14999999999997726</v>
      </c>
      <c r="H9" s="52">
        <f t="shared" si="19"/>
        <v>1.8100000000000002E-2</v>
      </c>
      <c r="I9" s="52">
        <f t="shared" si="1"/>
        <v>8.31</v>
      </c>
      <c r="J9" s="100">
        <f t="shared" si="8"/>
        <v>752.36</v>
      </c>
      <c r="K9" s="112">
        <f t="shared" si="20"/>
        <v>0.03</v>
      </c>
      <c r="L9" s="58">
        <f t="shared" si="9"/>
        <v>4.3E-3</v>
      </c>
      <c r="M9" s="68">
        <f t="shared" si="10"/>
        <v>14.46</v>
      </c>
      <c r="N9" s="95">
        <f t="shared" si="11"/>
        <v>7.0570000000000004</v>
      </c>
      <c r="O9" s="75">
        <f t="shared" si="21"/>
        <v>751.87</v>
      </c>
      <c r="P9" s="95">
        <f t="shared" si="22"/>
        <v>-0.12</v>
      </c>
      <c r="Q9" s="94">
        <f t="shared" si="12"/>
        <v>-1.6299999999999999E-2</v>
      </c>
      <c r="R9" s="113">
        <f t="shared" si="13"/>
        <v>7.4</v>
      </c>
      <c r="S9" s="60">
        <f t="shared" si="14"/>
        <v>2675</v>
      </c>
      <c r="T9" s="101">
        <f t="shared" si="23"/>
        <v>752.33</v>
      </c>
      <c r="U9" s="95">
        <f t="shared" si="24"/>
        <v>8.41</v>
      </c>
      <c r="V9" s="59">
        <v>-0.04</v>
      </c>
      <c r="W9" s="53">
        <f t="shared" si="15"/>
        <v>-0.34</v>
      </c>
      <c r="X9" s="104">
        <f t="shared" si="16"/>
        <v>751.99</v>
      </c>
      <c r="Y9" s="107"/>
      <c r="Z9" s="70">
        <f t="shared" si="17"/>
        <v>2675</v>
      </c>
      <c r="AA9" s="71" t="str">
        <f t="shared" si="2"/>
        <v>8.31, 0.15</v>
      </c>
      <c r="AB9" s="71" t="str">
        <f t="shared" si="3"/>
        <v>7.057, 0.03</v>
      </c>
      <c r="AC9" s="71" t="str">
        <f t="shared" si="18"/>
        <v>8.41, -0.34</v>
      </c>
      <c r="AD9" s="71">
        <f t="shared" si="4"/>
        <v>1.8100000000000002E-2</v>
      </c>
      <c r="AE9" s="71">
        <f t="shared" si="5"/>
        <v>4.3E-3</v>
      </c>
      <c r="AF9" s="71">
        <f t="shared" si="6"/>
        <v>-0.04</v>
      </c>
    </row>
    <row r="10" spans="2:32" ht="15" customHeight="1" thickBot="1" x14ac:dyDescent="0.3">
      <c r="B10" s="41">
        <v>7.1319999999999997</v>
      </c>
      <c r="C10" s="41">
        <v>2</v>
      </c>
      <c r="D10" s="41">
        <v>753.28499999999997</v>
      </c>
      <c r="E10" s="41">
        <v>21.818000000000001</v>
      </c>
      <c r="F10" s="51">
        <f t="shared" si="7"/>
        <v>753.29</v>
      </c>
      <c r="G10" s="52">
        <f t="shared" si="0"/>
        <v>-9.0000000000031832E-2</v>
      </c>
      <c r="H10" s="52">
        <f t="shared" si="19"/>
        <v>-1.21E-2</v>
      </c>
      <c r="I10" s="52">
        <f t="shared" si="1"/>
        <v>7.44</v>
      </c>
      <c r="J10" s="100">
        <f t="shared" si="8"/>
        <v>753.38</v>
      </c>
      <c r="K10" s="112">
        <f t="shared" si="20"/>
        <v>0.04</v>
      </c>
      <c r="L10" s="58">
        <f t="shared" si="9"/>
        <v>5.7000000000000002E-3</v>
      </c>
      <c r="M10" s="68">
        <f t="shared" si="10"/>
        <v>14.38</v>
      </c>
      <c r="N10" s="95">
        <f t="shared" si="11"/>
        <v>7.2570000000000006</v>
      </c>
      <c r="O10" s="75">
        <f t="shared" si="21"/>
        <v>752.88</v>
      </c>
      <c r="P10" s="95">
        <f t="shared" si="22"/>
        <v>-0.12</v>
      </c>
      <c r="Q10" s="94">
        <f t="shared" si="12"/>
        <v>-1.6899999999999998E-2</v>
      </c>
      <c r="R10" s="113">
        <f t="shared" si="13"/>
        <v>7.12</v>
      </c>
      <c r="S10" s="60">
        <f t="shared" si="14"/>
        <v>2700</v>
      </c>
      <c r="T10" s="101">
        <f t="shared" si="23"/>
        <v>753.34</v>
      </c>
      <c r="U10" s="95">
        <f t="shared" si="24"/>
        <v>8.5399999999999991</v>
      </c>
      <c r="V10" s="59">
        <v>-0.04</v>
      </c>
      <c r="W10" s="53">
        <f t="shared" si="15"/>
        <v>-0.34</v>
      </c>
      <c r="X10" s="104">
        <f t="shared" si="16"/>
        <v>753</v>
      </c>
      <c r="Y10" s="107"/>
      <c r="Z10" s="70">
        <f t="shared" si="17"/>
        <v>2700</v>
      </c>
      <c r="AA10" s="71" t="str">
        <f t="shared" si="2"/>
        <v>7.44, -0.09</v>
      </c>
      <c r="AB10" s="71" t="str">
        <f t="shared" si="3"/>
        <v>7.257, 0.04</v>
      </c>
      <c r="AC10" s="71" t="str">
        <f t="shared" si="18"/>
        <v>8.54, -0.34</v>
      </c>
      <c r="AD10" s="71">
        <f t="shared" si="4"/>
        <v>-1.21E-2</v>
      </c>
      <c r="AE10" s="71">
        <f t="shared" si="5"/>
        <v>5.7000000000000002E-3</v>
      </c>
      <c r="AF10" s="71">
        <f t="shared" si="6"/>
        <v>-0.04</v>
      </c>
    </row>
    <row r="11" spans="2:32" ht="15" customHeight="1" thickBot="1" x14ac:dyDescent="0.3">
      <c r="B11" s="41">
        <v>6.5339999999999998</v>
      </c>
      <c r="C11" s="41">
        <v>2</v>
      </c>
      <c r="D11" s="41">
        <v>753.851</v>
      </c>
      <c r="E11" s="41">
        <v>21.02</v>
      </c>
      <c r="F11" s="51">
        <f t="shared" si="7"/>
        <v>753.85</v>
      </c>
      <c r="G11" s="52">
        <f t="shared" si="0"/>
        <v>-0.29999999999995453</v>
      </c>
      <c r="H11" s="52">
        <f t="shared" si="19"/>
        <v>-4.4400000000000002E-2</v>
      </c>
      <c r="I11" s="52">
        <f t="shared" si="1"/>
        <v>6.76</v>
      </c>
      <c r="J11" s="100">
        <f t="shared" si="8"/>
        <v>754.15</v>
      </c>
      <c r="K11" s="112">
        <f>ROUND(L11*N11,2)</f>
        <v>0.05</v>
      </c>
      <c r="L11" s="58">
        <f t="shared" si="9"/>
        <v>6.7999999999999996E-3</v>
      </c>
      <c r="M11" s="68">
        <f t="shared" si="10"/>
        <v>14.26</v>
      </c>
      <c r="N11" s="95">
        <f t="shared" si="11"/>
        <v>7.3570000000000011</v>
      </c>
      <c r="O11" s="75">
        <f t="shared" si="21"/>
        <v>753.63</v>
      </c>
      <c r="P11" s="95">
        <f t="shared" si="22"/>
        <v>-0.12</v>
      </c>
      <c r="Q11" s="94">
        <f t="shared" si="12"/>
        <v>-1.7299999999999999E-2</v>
      </c>
      <c r="R11" s="113">
        <f t="shared" si="13"/>
        <v>6.9</v>
      </c>
      <c r="S11" s="60">
        <v>2719</v>
      </c>
      <c r="T11" s="101">
        <f t="shared" si="23"/>
        <v>754.1</v>
      </c>
      <c r="U11" s="95">
        <f t="shared" si="24"/>
        <v>8.65</v>
      </c>
      <c r="V11" s="59">
        <v>-0.04</v>
      </c>
      <c r="W11" s="53">
        <f t="shared" si="15"/>
        <v>-0.35</v>
      </c>
      <c r="X11" s="104">
        <f t="shared" si="16"/>
        <v>753.75</v>
      </c>
      <c r="Y11" s="107" t="s">
        <v>18</v>
      </c>
      <c r="Z11" s="70">
        <f t="shared" si="17"/>
        <v>2719</v>
      </c>
      <c r="AA11" s="71" t="str">
        <f t="shared" si="2"/>
        <v>6.76, -0.3</v>
      </c>
      <c r="AB11" s="71" t="str">
        <f t="shared" si="3"/>
        <v>7.357, 0.05</v>
      </c>
      <c r="AC11" s="71" t="str">
        <f t="shared" si="18"/>
        <v>8.65, -0.35</v>
      </c>
      <c r="AD11" s="71">
        <f t="shared" si="4"/>
        <v>-4.4400000000000002E-2</v>
      </c>
      <c r="AE11" s="71">
        <f t="shared" si="5"/>
        <v>6.7999999999999996E-3</v>
      </c>
      <c r="AF11" s="71">
        <f t="shared" si="6"/>
        <v>-0.04</v>
      </c>
    </row>
    <row r="12" spans="2:32" ht="15" customHeight="1" thickBot="1" x14ac:dyDescent="0.3">
      <c r="B12" s="41">
        <v>6.2960000000000003</v>
      </c>
      <c r="C12" s="41">
        <v>2</v>
      </c>
      <c r="D12" s="41">
        <v>754.04399999999998</v>
      </c>
      <c r="E12" s="41">
        <v>20.858000000000001</v>
      </c>
      <c r="F12" s="51">
        <f t="shared" si="7"/>
        <v>754.04</v>
      </c>
      <c r="G12" s="52">
        <f t="shared" si="0"/>
        <v>-0.35000000000002274</v>
      </c>
      <c r="H12" s="52">
        <f t="shared" si="19"/>
        <v>-5.33E-2</v>
      </c>
      <c r="I12" s="52">
        <f t="shared" si="1"/>
        <v>6.57</v>
      </c>
      <c r="J12" s="100">
        <f t="shared" si="8"/>
        <v>754.39</v>
      </c>
      <c r="K12" s="112">
        <f t="shared" si="20"/>
        <v>0.05</v>
      </c>
      <c r="L12" s="58">
        <f t="shared" si="9"/>
        <v>7.1000000000000004E-3</v>
      </c>
      <c r="M12" s="68">
        <f t="shared" si="10"/>
        <v>14.29</v>
      </c>
      <c r="N12" s="95">
        <f t="shared" si="11"/>
        <v>7.4570000000000007</v>
      </c>
      <c r="O12" s="75">
        <f t="shared" si="21"/>
        <v>753.87</v>
      </c>
      <c r="P12" s="95">
        <f t="shared" si="22"/>
        <v>-0.12</v>
      </c>
      <c r="Q12" s="94">
        <f t="shared" si="12"/>
        <v>-1.7500000000000002E-2</v>
      </c>
      <c r="R12" s="113">
        <f t="shared" si="13"/>
        <v>6.83</v>
      </c>
      <c r="S12" s="60">
        <f>S10+25</f>
        <v>2725</v>
      </c>
      <c r="T12" s="101">
        <f t="shared" si="23"/>
        <v>754.34</v>
      </c>
      <c r="U12" s="95">
        <f>$U$6+ROUND(($U$19-$U$6)/($S$19-$S$6)*($S12-$S$6),2)</f>
        <v>8.68</v>
      </c>
      <c r="V12" s="59">
        <v>-0.04</v>
      </c>
      <c r="W12" s="53">
        <f t="shared" si="15"/>
        <v>-0.35</v>
      </c>
      <c r="X12" s="104">
        <f t="shared" si="16"/>
        <v>753.99</v>
      </c>
      <c r="Y12" s="107"/>
      <c r="Z12" s="70">
        <f t="shared" si="17"/>
        <v>2725</v>
      </c>
      <c r="AA12" s="71" t="str">
        <f t="shared" si="2"/>
        <v>6.57, -0.35</v>
      </c>
      <c r="AB12" s="71" t="str">
        <f t="shared" si="3"/>
        <v>7.457, 0.05</v>
      </c>
      <c r="AC12" s="71" t="str">
        <f t="shared" si="18"/>
        <v>8.68, -0.35</v>
      </c>
      <c r="AD12" s="71">
        <f t="shared" si="4"/>
        <v>-5.33E-2</v>
      </c>
      <c r="AE12" s="71">
        <f t="shared" si="5"/>
        <v>7.1000000000000004E-3</v>
      </c>
      <c r="AF12" s="71">
        <f t="shared" si="6"/>
        <v>-0.04</v>
      </c>
    </row>
    <row r="13" spans="2:32" ht="15" customHeight="1" thickBot="1" x14ac:dyDescent="0.3">
      <c r="F13" s="51"/>
      <c r="G13" s="52"/>
      <c r="H13" s="52"/>
      <c r="I13" s="52" t="str">
        <f t="shared" si="1"/>
        <v/>
      </c>
      <c r="J13" s="100"/>
      <c r="K13" s="112"/>
      <c r="L13" s="58"/>
      <c r="M13" s="68"/>
      <c r="N13" s="95"/>
      <c r="O13" s="75"/>
      <c r="P13" s="95"/>
      <c r="Q13" s="94"/>
      <c r="R13" s="113"/>
      <c r="S13" s="60">
        <v>2749.21</v>
      </c>
      <c r="T13" s="101"/>
      <c r="U13" s="95"/>
      <c r="V13" s="52"/>
      <c r="W13" s="53"/>
      <c r="X13" s="104"/>
      <c r="Y13" s="107" t="s">
        <v>23</v>
      </c>
      <c r="Z13" s="70"/>
      <c r="AA13" s="71"/>
      <c r="AB13" s="71"/>
      <c r="AC13" s="71"/>
      <c r="AD13" s="71"/>
      <c r="AE13" s="71"/>
      <c r="AF13" s="71"/>
    </row>
    <row r="14" spans="2:32" ht="15" customHeight="1" thickBot="1" x14ac:dyDescent="0.3">
      <c r="B14" s="41">
        <v>5.5129999999999999</v>
      </c>
      <c r="C14" s="41">
        <v>2</v>
      </c>
      <c r="D14" s="41">
        <v>755.01400000000001</v>
      </c>
      <c r="E14" s="41">
        <v>19.89</v>
      </c>
      <c r="F14" s="51">
        <f t="shared" si="7"/>
        <v>755.01</v>
      </c>
      <c r="G14" s="52">
        <f t="shared" ref="G14:G19" si="25">F14-J14</f>
        <v>-0.41000000000008185</v>
      </c>
      <c r="H14" s="52">
        <f t="shared" si="19"/>
        <v>-7.22E-2</v>
      </c>
      <c r="I14" s="52">
        <f t="shared" si="1"/>
        <v>5.68</v>
      </c>
      <c r="J14" s="100">
        <f>T14+K14</f>
        <v>755.42000000000007</v>
      </c>
      <c r="K14" s="112">
        <f t="shared" si="20"/>
        <v>7.0000000000000007E-2</v>
      </c>
      <c r="L14" s="58">
        <f>$L$6+ROUND(($L$19-$L$6)/($S$19-$S$6)*($S14-$S$6),4)</f>
        <v>8.5000000000000006E-3</v>
      </c>
      <c r="M14" s="68">
        <f t="shared" si="10"/>
        <v>14.21</v>
      </c>
      <c r="N14" s="95">
        <f>$N$6+ROUND(($N$19-$N$6)/($S$19-$S$6)*($S14-$S$6),1)</f>
        <v>7.6570000000000009</v>
      </c>
      <c r="O14" s="75">
        <f t="shared" si="21"/>
        <v>754.88</v>
      </c>
      <c r="P14" s="95">
        <f t="shared" si="22"/>
        <v>-0.12</v>
      </c>
      <c r="Q14" s="94">
        <f>$Q$6+ROUND(($Q$19-$Q$6)/($S$19-$S$6)*($S14-$S$6),4)</f>
        <v>-1.7999999999999999E-2</v>
      </c>
      <c r="R14" s="113">
        <f>$R$6+ROUND(($R$19-$R$6)/($S$19-$S$6)*($S14-$S$6),2)</f>
        <v>6.5500000000000007</v>
      </c>
      <c r="S14" s="60">
        <f>S12+25</f>
        <v>2750</v>
      </c>
      <c r="T14" s="101">
        <f t="shared" si="23"/>
        <v>755.35</v>
      </c>
      <c r="U14" s="95">
        <f>$U$6+ROUND(($U$19-$U$6)/($S$19-$S$6)*($S14-$S$6),2)</f>
        <v>8.82</v>
      </c>
      <c r="V14" s="59">
        <v>-0.04</v>
      </c>
      <c r="W14" s="53">
        <f t="shared" si="15"/>
        <v>-0.35</v>
      </c>
      <c r="X14" s="104">
        <f t="shared" si="16"/>
        <v>755</v>
      </c>
      <c r="Y14" s="107"/>
      <c r="Z14" s="70">
        <f t="shared" si="17"/>
        <v>2750</v>
      </c>
      <c r="AA14" s="71" t="str">
        <f t="shared" ref="AA14:AA19" si="26">_xlfn.CONCAT(I14,", ",ROUND(G14,2))</f>
        <v>5.68, -0.41</v>
      </c>
      <c r="AB14" s="71" t="str">
        <f t="shared" ref="AB14:AB19" si="27">_xlfn.CONCAT(N14,", ",ROUND(K14,2))</f>
        <v>7.657, 0.07</v>
      </c>
      <c r="AC14" s="71" t="str">
        <f t="shared" si="18"/>
        <v>8.82, -0.35</v>
      </c>
      <c r="AD14" s="71">
        <f t="shared" ref="AD14:AD19" si="28">H14</f>
        <v>-7.22E-2</v>
      </c>
      <c r="AE14" s="71">
        <f t="shared" ref="AE14:AE19" si="29">L14</f>
        <v>8.5000000000000006E-3</v>
      </c>
      <c r="AF14" s="71">
        <f t="shared" ref="AF14:AF19" si="30">V14</f>
        <v>-0.04</v>
      </c>
    </row>
    <row r="15" spans="2:32" ht="15" customHeight="1" thickBot="1" x14ac:dyDescent="0.3">
      <c r="B15" s="41">
        <v>5.1539999999999999</v>
      </c>
      <c r="C15" s="41">
        <v>2</v>
      </c>
      <c r="D15" s="41">
        <v>755.95500000000004</v>
      </c>
      <c r="E15" s="41">
        <v>19.073</v>
      </c>
      <c r="F15" s="51">
        <f t="shared" si="7"/>
        <v>755.96</v>
      </c>
      <c r="G15" s="52">
        <f t="shared" si="25"/>
        <v>-0.37000000000000455</v>
      </c>
      <c r="H15" s="52">
        <f t="shared" si="19"/>
        <v>-7.5200000000000003E-2</v>
      </c>
      <c r="I15" s="52">
        <f t="shared" si="1"/>
        <v>4.92</v>
      </c>
      <c r="J15" s="100">
        <f>T15+K15</f>
        <v>756.33</v>
      </c>
      <c r="K15" s="112">
        <f>ROUND(L15*N15,2)</f>
        <v>0.08</v>
      </c>
      <c r="L15" s="58">
        <f>$L$6+ROUND(($L$19-$L$6)/($S$19-$S$6)*($S15-$S$6),4)</f>
        <v>9.7999999999999997E-3</v>
      </c>
      <c r="M15" s="68">
        <f t="shared" si="10"/>
        <v>14.16</v>
      </c>
      <c r="N15" s="95">
        <f>$N$6+ROUND(($N$19-$N$6)/($S$19-$S$6)*($S15-$S$6),1)</f>
        <v>7.8570000000000011</v>
      </c>
      <c r="O15" s="75">
        <f t="shared" si="21"/>
        <v>755.77</v>
      </c>
      <c r="P15" s="95">
        <f t="shared" si="22"/>
        <v>-0.12</v>
      </c>
      <c r="Q15" s="94">
        <f>$Q$6+ROUND(($Q$19-$Q$6)/($S$19-$S$6)*($S15-$S$6),4)</f>
        <v>-1.8499999999999999E-2</v>
      </c>
      <c r="R15" s="113">
        <f>$R$6+ROUND(($R$19-$R$6)/($S$19-$S$6)*($S15-$S$6),2)</f>
        <v>6.3000000000000007</v>
      </c>
      <c r="S15" s="60">
        <v>2772.5</v>
      </c>
      <c r="T15" s="101">
        <f t="shared" si="23"/>
        <v>756.25</v>
      </c>
      <c r="U15" s="95">
        <f>$U$6+ROUND(($U$19-$U$6)/($S$19-$S$6)*($S15-$S$6),2)</f>
        <v>8.94</v>
      </c>
      <c r="V15" s="59">
        <v>-0.04</v>
      </c>
      <c r="W15" s="53">
        <f t="shared" si="15"/>
        <v>-0.36</v>
      </c>
      <c r="X15" s="104">
        <f t="shared" si="16"/>
        <v>755.89</v>
      </c>
      <c r="Y15" s="107"/>
      <c r="Z15" s="70">
        <f t="shared" si="17"/>
        <v>2772.5</v>
      </c>
      <c r="AA15" s="71" t="str">
        <f t="shared" si="26"/>
        <v>4.92, -0.37</v>
      </c>
      <c r="AB15" s="71" t="str">
        <f t="shared" si="27"/>
        <v>7.857, 0.08</v>
      </c>
      <c r="AC15" s="71" t="str">
        <f t="shared" si="18"/>
        <v>8.94, -0.36</v>
      </c>
      <c r="AD15" s="71">
        <f t="shared" si="28"/>
        <v>-7.5200000000000003E-2</v>
      </c>
      <c r="AE15" s="71">
        <f t="shared" si="29"/>
        <v>9.7999999999999997E-3</v>
      </c>
      <c r="AF15" s="71">
        <f t="shared" si="30"/>
        <v>-0.04</v>
      </c>
    </row>
    <row r="16" spans="2:32" ht="15" customHeight="1" thickBot="1" x14ac:dyDescent="0.3">
      <c r="B16" s="41">
        <v>4.7949999999999999</v>
      </c>
      <c r="C16" s="41">
        <v>2</v>
      </c>
      <c r="D16" s="41">
        <v>756.06299999999999</v>
      </c>
      <c r="E16" s="41">
        <v>18.984000000000002</v>
      </c>
      <c r="F16" s="51">
        <f t="shared" si="7"/>
        <v>756.06</v>
      </c>
      <c r="G16" s="52">
        <f t="shared" si="25"/>
        <v>-0.37000000000011823</v>
      </c>
      <c r="H16" s="52">
        <f t="shared" si="19"/>
        <v>-7.6100000000000001E-2</v>
      </c>
      <c r="I16" s="52">
        <f t="shared" si="1"/>
        <v>4.8600000000000003</v>
      </c>
      <c r="J16" s="100">
        <f>T16+K16</f>
        <v>756.43000000000006</v>
      </c>
      <c r="K16" s="112">
        <f t="shared" si="20"/>
        <v>0.08</v>
      </c>
      <c r="L16" s="58">
        <f>$L$6+ROUND(($L$19-$L$6)/($S$19-$S$6)*($S16-$S$6),4)</f>
        <v>9.9000000000000008E-3</v>
      </c>
      <c r="M16" s="68">
        <f t="shared" si="10"/>
        <v>14.13</v>
      </c>
      <c r="N16" s="95">
        <f>$N$6+ROUND(($N$19-$N$6)/($S$19-$S$6)*($S16-$S$6),1)</f>
        <v>7.8570000000000011</v>
      </c>
      <c r="O16" s="75">
        <f t="shared" si="21"/>
        <v>755.87</v>
      </c>
      <c r="P16" s="95">
        <f t="shared" si="22"/>
        <v>-0.12</v>
      </c>
      <c r="Q16" s="94">
        <f>$Q$6+ROUND(($Q$19-$Q$6)/($S$19-$S$6)*($S16-$S$6),4)</f>
        <v>-1.8599999999999998E-2</v>
      </c>
      <c r="R16" s="113">
        <f>$R$6+ROUND(($R$19-$R$6)/($S$19-$S$6)*($S16-$S$6),2)</f>
        <v>6.2700000000000005</v>
      </c>
      <c r="S16" s="60">
        <f>S14+25</f>
        <v>2775</v>
      </c>
      <c r="T16" s="101">
        <f t="shared" si="23"/>
        <v>756.35</v>
      </c>
      <c r="U16" s="95">
        <f>$U$6+ROUND(($U$19-$U$6)/($S$19-$S$6)*($S16-$S$6),2)</f>
        <v>8.9499999999999993</v>
      </c>
      <c r="V16" s="59">
        <v>-0.04</v>
      </c>
      <c r="W16" s="53">
        <f t="shared" si="15"/>
        <v>-0.36</v>
      </c>
      <c r="X16" s="104">
        <f t="shared" si="16"/>
        <v>755.99</v>
      </c>
      <c r="Y16" s="107"/>
      <c r="Z16" s="70">
        <f t="shared" si="17"/>
        <v>2775</v>
      </c>
      <c r="AA16" s="71" t="str">
        <f t="shared" si="26"/>
        <v>4.86, -0.37</v>
      </c>
      <c r="AB16" s="71" t="str">
        <f t="shared" si="27"/>
        <v>7.857, 0.08</v>
      </c>
      <c r="AC16" s="71" t="str">
        <f t="shared" si="18"/>
        <v>8.95, -0.36</v>
      </c>
      <c r="AD16" s="71">
        <f t="shared" si="28"/>
        <v>-7.6100000000000001E-2</v>
      </c>
      <c r="AE16" s="71">
        <f t="shared" si="29"/>
        <v>9.9000000000000008E-3</v>
      </c>
      <c r="AF16" s="71">
        <f t="shared" si="30"/>
        <v>-0.04</v>
      </c>
    </row>
    <row r="17" spans="2:32" ht="15" customHeight="1" thickBot="1" x14ac:dyDescent="0.3">
      <c r="B17" s="41">
        <v>4.077</v>
      </c>
      <c r="C17" s="41">
        <v>2</v>
      </c>
      <c r="D17" s="41">
        <v>757.18899999999996</v>
      </c>
      <c r="E17" s="41">
        <v>18.085999999999999</v>
      </c>
      <c r="F17" s="51">
        <f t="shared" si="7"/>
        <v>757.19</v>
      </c>
      <c r="G17" s="52">
        <f t="shared" si="25"/>
        <v>-0.25999999999999091</v>
      </c>
      <c r="H17" s="52">
        <f t="shared" si="19"/>
        <v>-6.4399999999999999E-2</v>
      </c>
      <c r="I17" s="52">
        <f t="shared" si="1"/>
        <v>4.04</v>
      </c>
      <c r="J17" s="100">
        <f>T17+K17</f>
        <v>757.45</v>
      </c>
      <c r="K17" s="112">
        <f>ROUND(L17*N17,2)</f>
        <v>0.09</v>
      </c>
      <c r="L17" s="58">
        <f>$L$6+ROUND(($L$19-$L$6)/($S$19-$S$6)*($S17-$S$6),4)</f>
        <v>1.14E-2</v>
      </c>
      <c r="M17" s="68">
        <f t="shared" si="10"/>
        <v>14.05</v>
      </c>
      <c r="N17" s="95">
        <f>$N$6+ROUND(($N$19-$N$6)/($S$19-$S$6)*($S17-$S$6),1)</f>
        <v>8.0570000000000004</v>
      </c>
      <c r="O17" s="75">
        <f t="shared" si="21"/>
        <v>756.88</v>
      </c>
      <c r="P17" s="95">
        <f t="shared" si="22"/>
        <v>-0.12</v>
      </c>
      <c r="Q17" s="94">
        <f>$Q$6+ROUND(($Q$19-$Q$6)/($S$19-$S$6)*($S17-$S$6),4)</f>
        <v>-1.9200000000000002E-2</v>
      </c>
      <c r="R17" s="113">
        <f>$R$6+ROUND(($R$19-$R$6)/($S$19-$S$6)*($S17-$S$6),2)</f>
        <v>5.99</v>
      </c>
      <c r="S17" s="60">
        <f t="shared" si="14"/>
        <v>2800</v>
      </c>
      <c r="T17" s="101">
        <f t="shared" si="23"/>
        <v>757.36</v>
      </c>
      <c r="U17" s="95">
        <f>$U$6+ROUND(($U$19-$U$6)/($S$19-$S$6)*($S17-$S$6),2)</f>
        <v>9.09</v>
      </c>
      <c r="V17" s="59">
        <v>-0.04</v>
      </c>
      <c r="W17" s="53">
        <f t="shared" si="15"/>
        <v>-0.36</v>
      </c>
      <c r="X17" s="104">
        <f t="shared" si="16"/>
        <v>757</v>
      </c>
      <c r="Y17" s="107"/>
      <c r="Z17" s="70">
        <f t="shared" si="17"/>
        <v>2800</v>
      </c>
      <c r="AA17" s="71" t="str">
        <f t="shared" si="26"/>
        <v>4.04, -0.26</v>
      </c>
      <c r="AB17" s="71" t="str">
        <f t="shared" si="27"/>
        <v>8.057, 0.09</v>
      </c>
      <c r="AC17" s="71" t="str">
        <f t="shared" si="18"/>
        <v>9.09, -0.36</v>
      </c>
      <c r="AD17" s="71">
        <f t="shared" si="28"/>
        <v>-6.4399999999999999E-2</v>
      </c>
      <c r="AE17" s="71">
        <f t="shared" si="29"/>
        <v>1.14E-2</v>
      </c>
      <c r="AF17" s="71">
        <f t="shared" si="30"/>
        <v>-0.04</v>
      </c>
    </row>
    <row r="18" spans="2:32" ht="15" customHeight="1" thickBot="1" x14ac:dyDescent="0.3">
      <c r="B18" s="41">
        <v>3.6989999999999998</v>
      </c>
      <c r="C18" s="41">
        <v>2</v>
      </c>
      <c r="D18" s="41">
        <v>758.28200000000004</v>
      </c>
      <c r="E18" s="41">
        <v>17.498000000000001</v>
      </c>
      <c r="F18" s="51">
        <f t="shared" si="7"/>
        <v>758.28</v>
      </c>
      <c r="G18" s="52">
        <f t="shared" si="25"/>
        <v>-0.19000000000005457</v>
      </c>
      <c r="H18" s="52">
        <f t="shared" si="19"/>
        <v>-5.3800000000000001E-2</v>
      </c>
      <c r="I18" s="52">
        <f t="shared" si="1"/>
        <v>3.53</v>
      </c>
      <c r="J18" s="100">
        <f>T18+K18</f>
        <v>758.47</v>
      </c>
      <c r="K18" s="112">
        <f>ROUND(L18*N18,2)</f>
        <v>0.11</v>
      </c>
      <c r="L18" s="58">
        <f>$L$6+ROUND(($L$19-$L$6)/($S$19-$S$6)*($S18-$S$6),4)</f>
        <v>1.2800000000000001E-2</v>
      </c>
      <c r="M18" s="68">
        <f t="shared" si="10"/>
        <v>13.97</v>
      </c>
      <c r="N18" s="95">
        <f>$N$6+ROUND(($N$19-$N$6)/($S$19-$S$6)*($S18-$S$6),1)</f>
        <v>8.2570000000000014</v>
      </c>
      <c r="O18" s="75">
        <f t="shared" si="21"/>
        <v>757.88</v>
      </c>
      <c r="P18" s="95">
        <f t="shared" si="22"/>
        <v>-0.11</v>
      </c>
      <c r="Q18" s="94">
        <f>$Q$6+ROUND(($Q$19-$Q$6)/($S$19-$S$6)*($S18-$S$6),4)</f>
        <v>-1.9700000000000002E-2</v>
      </c>
      <c r="R18" s="113">
        <f>$R$6+ROUND(($R$19-$R$6)/($S$19-$S$6)*($S18-$S$6),2)</f>
        <v>5.7100000000000009</v>
      </c>
      <c r="S18" s="60">
        <f t="shared" si="14"/>
        <v>2825</v>
      </c>
      <c r="T18" s="101">
        <f t="shared" si="23"/>
        <v>758.36</v>
      </c>
      <c r="U18" s="95">
        <f>$U$6+ROUND(($U$19-$U$6)/($S$19-$S$6)*($S18-$S$6),2)</f>
        <v>9.2200000000000006</v>
      </c>
      <c r="V18" s="59">
        <v>-0.04</v>
      </c>
      <c r="W18" s="53">
        <f t="shared" si="15"/>
        <v>-0.37</v>
      </c>
      <c r="X18" s="104">
        <f t="shared" si="16"/>
        <v>757.99</v>
      </c>
      <c r="Y18" s="107"/>
      <c r="Z18" s="70">
        <f t="shared" si="17"/>
        <v>2825</v>
      </c>
      <c r="AA18" s="71" t="str">
        <f t="shared" si="26"/>
        <v>3.53, -0.19</v>
      </c>
      <c r="AB18" s="71" t="str">
        <f t="shared" si="27"/>
        <v>8.257, 0.11</v>
      </c>
      <c r="AC18" s="71" t="str">
        <f t="shared" si="18"/>
        <v>9.22, -0.37</v>
      </c>
      <c r="AD18" s="71">
        <f t="shared" si="28"/>
        <v>-5.3800000000000001E-2</v>
      </c>
      <c r="AE18" s="71">
        <f t="shared" si="29"/>
        <v>1.2800000000000001E-2</v>
      </c>
      <c r="AF18" s="71">
        <f t="shared" si="30"/>
        <v>-0.04</v>
      </c>
    </row>
    <row r="19" spans="2:32" ht="15" customHeight="1" thickBot="1" x14ac:dyDescent="0.3">
      <c r="B19" s="41">
        <v>3.9009999999999998</v>
      </c>
      <c r="C19" s="41">
        <v>2</v>
      </c>
      <c r="D19" s="41">
        <v>759.33600000000001</v>
      </c>
      <c r="E19" s="41">
        <v>17.411999999999999</v>
      </c>
      <c r="F19" s="63">
        <f t="shared" si="7"/>
        <v>759.34</v>
      </c>
      <c r="G19" s="64">
        <f t="shared" si="25"/>
        <v>-1.999999999998181E-2</v>
      </c>
      <c r="H19" s="64">
        <f t="shared" si="19"/>
        <v>-5.5999999999999999E-3</v>
      </c>
      <c r="I19" s="102">
        <f>IF(E19="","",ROUND(E19-N19-R19,2))</f>
        <v>3.55</v>
      </c>
      <c r="J19" s="110">
        <v>759.36</v>
      </c>
      <c r="K19" s="63">
        <f>O19-J19</f>
        <v>0.12000000000000455</v>
      </c>
      <c r="L19" s="64">
        <f>ROUND(K19/N19,4)</f>
        <v>1.4200000000000001E-2</v>
      </c>
      <c r="M19" s="77">
        <f t="shared" si="10"/>
        <v>13.86</v>
      </c>
      <c r="N19" s="69">
        <f>'Ex-LW'!AG18</f>
        <v>8.4289999999999985</v>
      </c>
      <c r="O19" s="46">
        <f>'Ex-LW'!AJ18</f>
        <v>759.48</v>
      </c>
      <c r="P19" s="98">
        <f>T19-O19</f>
        <v>-0.11000000000001364</v>
      </c>
      <c r="Q19" s="99">
        <f>ROUND(P19/R19,4)</f>
        <v>-2.0299999999999999E-2</v>
      </c>
      <c r="R19" s="114">
        <f>ROUND('Ex-LW'!AK18,2)</f>
        <v>5.43</v>
      </c>
      <c r="S19" s="48">
        <f t="shared" si="14"/>
        <v>2850</v>
      </c>
      <c r="T19" s="49">
        <v>759.37</v>
      </c>
      <c r="U19" s="93">
        <v>9.36</v>
      </c>
      <c r="V19" s="46">
        <v>-0.04</v>
      </c>
      <c r="W19" s="64">
        <f>X19-T19</f>
        <v>-0.37000000000000455</v>
      </c>
      <c r="X19" s="105">
        <v>759</v>
      </c>
      <c r="Y19" s="108" t="s">
        <v>12</v>
      </c>
      <c r="Z19" s="70">
        <f t="shared" si="17"/>
        <v>2850</v>
      </c>
      <c r="AA19" s="71" t="str">
        <f t="shared" si="26"/>
        <v>3.55, -0.02</v>
      </c>
      <c r="AB19" s="71" t="str">
        <f t="shared" si="27"/>
        <v>8.429, 0.12</v>
      </c>
      <c r="AC19" s="71" t="str">
        <f t="shared" si="18"/>
        <v>9.36, -0.37</v>
      </c>
      <c r="AD19" s="71">
        <f t="shared" si="28"/>
        <v>-5.5999999999999999E-3</v>
      </c>
      <c r="AE19" s="71">
        <f t="shared" si="29"/>
        <v>1.4200000000000001E-2</v>
      </c>
      <c r="AF19" s="71">
        <f t="shared" si="30"/>
        <v>-0.04</v>
      </c>
    </row>
  </sheetData>
  <mergeCells count="28">
    <mergeCell ref="Q4:Q5"/>
    <mergeCell ref="R4:R5"/>
    <mergeCell ref="K3:R3"/>
    <mergeCell ref="F3:J3"/>
    <mergeCell ref="T4:T5"/>
    <mergeCell ref="G4:G5"/>
    <mergeCell ref="H4:H5"/>
    <mergeCell ref="I4:I5"/>
    <mergeCell ref="J4:J5"/>
    <mergeCell ref="K4:K5"/>
    <mergeCell ref="L4:L5"/>
    <mergeCell ref="M4:M5"/>
    <mergeCell ref="F2:Y2"/>
    <mergeCell ref="B3:B5"/>
    <mergeCell ref="C3:C5"/>
    <mergeCell ref="D3:D5"/>
    <mergeCell ref="E3:E5"/>
    <mergeCell ref="S3:S5"/>
    <mergeCell ref="U3:X3"/>
    <mergeCell ref="Y3:Y5"/>
    <mergeCell ref="F4:F5"/>
    <mergeCell ref="U4:U5"/>
    <mergeCell ref="V4:V5"/>
    <mergeCell ref="X4:X5"/>
    <mergeCell ref="W4:W5"/>
    <mergeCell ref="N4:N5"/>
    <mergeCell ref="O4:O5"/>
    <mergeCell ref="P4:P5"/>
  </mergeCells>
  <pageMargins left="0.7" right="0.7" top="0.75" bottom="0.75" header="0.3" footer="0.3"/>
  <pageSetup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0B5AA-9A63-4B9B-9167-64F79F446DC1}">
  <dimension ref="B3:P19"/>
  <sheetViews>
    <sheetView workbookViewId="0">
      <selection activeCell="E13" sqref="E13"/>
    </sheetView>
  </sheetViews>
  <sheetFormatPr defaultRowHeight="15" x14ac:dyDescent="0.25"/>
  <cols>
    <col min="1" max="9" width="9.140625" style="2"/>
    <col min="10" max="10" width="9.140625" style="3"/>
    <col min="11" max="15" width="9.140625" style="2"/>
    <col min="16" max="16" width="20.5703125" style="5" bestFit="1" customWidth="1"/>
    <col min="17" max="16384" width="9.140625" style="2"/>
  </cols>
  <sheetData>
    <row r="3" spans="2:16" x14ac:dyDescent="0.25">
      <c r="B3" s="218" t="s">
        <v>0</v>
      </c>
      <c r="C3" s="218"/>
      <c r="D3" s="218"/>
      <c r="E3" s="218"/>
      <c r="F3" s="218"/>
      <c r="G3" s="218"/>
      <c r="H3" s="218"/>
      <c r="I3" s="218"/>
      <c r="J3" s="219" t="s">
        <v>6</v>
      </c>
      <c r="K3" s="1" t="s">
        <v>7</v>
      </c>
      <c r="L3" s="218"/>
      <c r="M3" s="218"/>
      <c r="N3" s="218"/>
      <c r="O3" s="218"/>
    </row>
    <row r="4" spans="2:16" x14ac:dyDescent="0.25">
      <c r="B4" s="1" t="s">
        <v>3</v>
      </c>
      <c r="C4" s="1" t="s">
        <v>5</v>
      </c>
      <c r="D4" s="1" t="s">
        <v>2</v>
      </c>
      <c r="E4" s="1" t="s">
        <v>4</v>
      </c>
      <c r="F4" s="1" t="s">
        <v>1</v>
      </c>
      <c r="G4" s="1" t="s">
        <v>5</v>
      </c>
      <c r="H4" s="1" t="s">
        <v>2</v>
      </c>
      <c r="I4" s="1" t="s">
        <v>4</v>
      </c>
      <c r="J4" s="219"/>
      <c r="K4" s="1" t="s">
        <v>10</v>
      </c>
      <c r="L4" s="1" t="s">
        <v>8</v>
      </c>
      <c r="M4" s="1" t="s">
        <v>2</v>
      </c>
      <c r="N4" s="1" t="s">
        <v>5</v>
      </c>
      <c r="O4" s="1" t="s">
        <v>3</v>
      </c>
      <c r="P4" s="6" t="s">
        <v>11</v>
      </c>
    </row>
    <row r="5" spans="2:16" x14ac:dyDescent="0.25">
      <c r="E5" s="1">
        <v>6.5</v>
      </c>
      <c r="F5" s="1"/>
      <c r="I5" s="2">
        <v>16</v>
      </c>
      <c r="J5" s="4">
        <v>2575</v>
      </c>
      <c r="K5" s="1"/>
      <c r="L5" s="1">
        <v>2</v>
      </c>
    </row>
    <row r="6" spans="2:16" x14ac:dyDescent="0.25">
      <c r="E6" s="1">
        <v>6.5</v>
      </c>
      <c r="F6" s="1"/>
      <c r="I6" s="2">
        <v>16</v>
      </c>
      <c r="J6" s="4">
        <f>J5+25</f>
        <v>2600</v>
      </c>
      <c r="K6" s="1"/>
      <c r="L6" s="1">
        <v>2</v>
      </c>
    </row>
    <row r="7" spans="2:16" x14ac:dyDescent="0.25">
      <c r="E7" s="1">
        <v>6.5</v>
      </c>
      <c r="I7" s="2">
        <v>16</v>
      </c>
      <c r="J7" s="4">
        <f>J6+25</f>
        <v>2625</v>
      </c>
      <c r="L7" s="1">
        <v>2</v>
      </c>
    </row>
    <row r="8" spans="2:16" x14ac:dyDescent="0.25">
      <c r="E8" s="1">
        <v>6.5</v>
      </c>
      <c r="I8" s="2">
        <v>16</v>
      </c>
      <c r="J8" s="4">
        <v>2645</v>
      </c>
      <c r="L8" s="1">
        <v>8</v>
      </c>
      <c r="P8" s="5" t="s">
        <v>14</v>
      </c>
    </row>
    <row r="9" spans="2:16" x14ac:dyDescent="0.25">
      <c r="E9" s="1">
        <v>6.5</v>
      </c>
      <c r="I9" s="2">
        <v>16</v>
      </c>
      <c r="J9" s="4">
        <f>J7+25</f>
        <v>2650</v>
      </c>
      <c r="L9" s="1">
        <v>8</v>
      </c>
    </row>
    <row r="10" spans="2:16" x14ac:dyDescent="0.25">
      <c r="E10" s="8">
        <f>E$9-ROUND((E$9-E$13)/($J$9-$J$13)*($J$9-$J10),2)</f>
        <v>6.97</v>
      </c>
      <c r="I10" s="2">
        <v>16</v>
      </c>
      <c r="J10" s="4">
        <f t="shared" ref="J10:J18" si="0">J9+25</f>
        <v>2675</v>
      </c>
      <c r="L10" s="1">
        <v>8</v>
      </c>
    </row>
    <row r="11" spans="2:16" x14ac:dyDescent="0.25">
      <c r="E11" s="8">
        <f>E$9-ROUND((E$9-E$13)/($J$9-$J$13)*($J$9-$J11),2)</f>
        <v>7.4399999999999995</v>
      </c>
      <c r="I11" s="2">
        <v>16</v>
      </c>
      <c r="J11" s="4">
        <f t="shared" si="0"/>
        <v>2700</v>
      </c>
      <c r="L11" s="1">
        <v>8</v>
      </c>
    </row>
    <row r="12" spans="2:16" x14ac:dyDescent="0.25">
      <c r="E12" s="8">
        <f>E$9-ROUND((E$9-E$13)/($J$9-$J$13)*($J$9-$J12),2)</f>
        <v>7.91</v>
      </c>
      <c r="I12" s="2">
        <v>16</v>
      </c>
      <c r="J12" s="4">
        <f t="shared" si="0"/>
        <v>2725</v>
      </c>
      <c r="L12" s="1">
        <v>8</v>
      </c>
    </row>
    <row r="13" spans="2:16" x14ac:dyDescent="0.25">
      <c r="E13" s="1">
        <v>8.3800000000000008</v>
      </c>
      <c r="I13" s="2">
        <v>16</v>
      </c>
      <c r="J13" s="4">
        <f t="shared" si="0"/>
        <v>2750</v>
      </c>
      <c r="L13" s="1">
        <v>8</v>
      </c>
    </row>
    <row r="14" spans="2:16" x14ac:dyDescent="0.25">
      <c r="E14" s="8">
        <f>E$13-ROUND((E$13-E$19)/($J$13-$J$19)*($J$13-$J14),2)</f>
        <v>7.32</v>
      </c>
      <c r="I14" s="2">
        <v>16</v>
      </c>
      <c r="J14" s="4">
        <f t="shared" si="0"/>
        <v>2775</v>
      </c>
      <c r="L14" s="1">
        <v>8</v>
      </c>
    </row>
    <row r="15" spans="2:16" x14ac:dyDescent="0.25">
      <c r="E15" s="8">
        <f t="shared" ref="E15:E18" si="1">E$13-ROUND((E$13-E$19)/($J$13-$J$19)*($J$13-$J15),2)</f>
        <v>6.2500000000000009</v>
      </c>
      <c r="I15" s="2">
        <v>16</v>
      </c>
      <c r="J15" s="4">
        <f t="shared" si="0"/>
        <v>2800</v>
      </c>
      <c r="L15" s="1">
        <v>8</v>
      </c>
    </row>
    <row r="16" spans="2:16" x14ac:dyDescent="0.25">
      <c r="E16" s="8">
        <f t="shared" si="1"/>
        <v>5.1900000000000013</v>
      </c>
      <c r="I16" s="2">
        <v>16</v>
      </c>
      <c r="J16" s="4">
        <f t="shared" si="0"/>
        <v>2825</v>
      </c>
      <c r="L16" s="1">
        <v>8</v>
      </c>
    </row>
    <row r="17" spans="2:16" x14ac:dyDescent="0.25">
      <c r="E17" s="8">
        <f t="shared" si="1"/>
        <v>4.1300000000000008</v>
      </c>
      <c r="F17" s="1"/>
      <c r="I17" s="2">
        <v>16</v>
      </c>
      <c r="J17" s="4">
        <f t="shared" si="0"/>
        <v>2850</v>
      </c>
      <c r="K17" s="1"/>
      <c r="L17" s="1">
        <v>8</v>
      </c>
      <c r="O17" s="1">
        <v>759</v>
      </c>
      <c r="P17" s="5" t="s">
        <v>12</v>
      </c>
    </row>
    <row r="18" spans="2:16" x14ac:dyDescent="0.25">
      <c r="B18" s="7"/>
      <c r="E18" s="8">
        <f t="shared" si="1"/>
        <v>3.0600000000000005</v>
      </c>
      <c r="F18" s="1"/>
      <c r="I18" s="2">
        <v>16</v>
      </c>
      <c r="J18" s="4">
        <f t="shared" si="0"/>
        <v>2875</v>
      </c>
      <c r="K18" s="1"/>
      <c r="L18" s="1">
        <v>8</v>
      </c>
      <c r="O18" s="1">
        <v>760.17</v>
      </c>
    </row>
    <row r="19" spans="2:16" x14ac:dyDescent="0.25">
      <c r="E19" s="1">
        <v>2</v>
      </c>
      <c r="J19" s="3">
        <v>2900</v>
      </c>
    </row>
  </sheetData>
  <mergeCells count="3">
    <mergeCell ref="B3:I3"/>
    <mergeCell ref="J3:J4"/>
    <mergeCell ref="L3:O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Final Table</vt:lpstr>
      <vt:lpstr>Proposed</vt:lpstr>
      <vt:lpstr>16' width</vt:lpstr>
      <vt:lpstr>Ex-LW</vt:lpstr>
      <vt:lpstr>Pr-LW</vt:lpstr>
      <vt:lpstr>PROP-CROWN</vt:lpstr>
      <vt:lpstr>Existing</vt:lpstr>
      <vt:lpstr>'16'' width'!Print_Area</vt:lpstr>
      <vt:lpstr>'Final Table'!Print_Area</vt:lpstr>
      <vt:lpstr>Proposed!Print_Area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Horrisberger</dc:creator>
  <cp:lastModifiedBy>Horrisberger, Scott</cp:lastModifiedBy>
  <cp:lastPrinted>2024-06-26T11:46:31Z</cp:lastPrinted>
  <dcterms:created xsi:type="dcterms:W3CDTF">2022-05-16T20:07:54Z</dcterms:created>
  <dcterms:modified xsi:type="dcterms:W3CDTF">2024-10-04T11:17:28Z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